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fe\OneDrive\Área de Trabalho\"/>
    </mc:Choice>
  </mc:AlternateContent>
  <xr:revisionPtr revIDLastSave="0" documentId="8_{F143BE25-335A-4B82-A024-497C6AD6F8C6}" xr6:coauthVersionLast="44" xr6:coauthVersionMax="44" xr10:uidLastSave="{00000000-0000-0000-0000-000000000000}"/>
  <bookViews>
    <workbookView xWindow="-120" yWindow="-120" windowWidth="20730" windowHeight="11310" firstSheet="2" activeTab="5" xr2:uid="{00000000-000D-0000-FFFF-FFFF00000000}"/>
  </bookViews>
  <sheets>
    <sheet name="Consumo AVDF" sheetId="2" r:id="rId1"/>
    <sheet name="Comparativo pedidos x painel" sheetId="5" r:id="rId2"/>
    <sheet name="Projeção valores" sheetId="3" r:id="rId3"/>
    <sheet name="% MERCADO" sheetId="4" r:id="rId4"/>
    <sheet name="Frete por Estado" sheetId="8" r:id="rId5"/>
    <sheet name="Fator de Conversão" sheetId="9" r:id="rId6"/>
    <sheet name="LOCAIS CONSULTADOS" sheetId="7" r:id="rId7"/>
  </sheets>
  <definedNames>
    <definedName name="_xlnm._FilterDatabase" localSheetId="0" hidden="1">'Consumo AVDF'!$A$2:$AW$58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0" i="5" l="1"/>
  <c r="I6" i="5"/>
  <c r="I2" i="5"/>
  <c r="G10" i="5"/>
  <c r="G6" i="5"/>
  <c r="G2" i="5"/>
  <c r="R15" i="8"/>
  <c r="R17" i="8"/>
  <c r="R19" i="8"/>
  <c r="R13" i="8"/>
  <c r="M9" i="8"/>
  <c r="M7" i="8"/>
  <c r="M5" i="8"/>
  <c r="M3" i="8"/>
  <c r="C10" i="5" l="1"/>
  <c r="C6" i="5"/>
  <c r="E6" i="5"/>
  <c r="B6" i="5"/>
  <c r="U22" i="2"/>
  <c r="U20" i="2"/>
  <c r="U18" i="2"/>
  <c r="U17" i="2"/>
  <c r="U16" i="2"/>
  <c r="U14" i="2"/>
  <c r="U13" i="2"/>
  <c r="U12" i="2"/>
  <c r="U11" i="2"/>
  <c r="U21" i="2"/>
  <c r="U10" i="2"/>
  <c r="U9" i="2"/>
  <c r="U19" i="2"/>
  <c r="U8" i="2"/>
  <c r="U7" i="2"/>
  <c r="U6" i="2"/>
  <c r="U5" i="2"/>
  <c r="U4" i="2"/>
  <c r="U15" i="2"/>
  <c r="U3" i="2"/>
  <c r="E10" i="5" l="1"/>
  <c r="B10" i="5"/>
  <c r="T19" i="2"/>
  <c r="T10" i="2"/>
  <c r="T9" i="2"/>
  <c r="V18" i="2" l="1"/>
  <c r="V17" i="2"/>
  <c r="V16" i="2"/>
  <c r="V14" i="2"/>
  <c r="V12" i="2"/>
  <c r="V7" i="2"/>
  <c r="V25" i="2"/>
  <c r="V5" i="2"/>
  <c r="V4" i="2"/>
  <c r="T4" i="2"/>
  <c r="T3" i="2"/>
  <c r="E2" i="5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AR15" i="2"/>
  <c r="AR11" i="2" s="1"/>
  <c r="AS15" i="2"/>
  <c r="AT15" i="2"/>
  <c r="AT11" i="2" s="1"/>
  <c r="AU15" i="2"/>
  <c r="AU11" i="2" s="1"/>
  <c r="AV15" i="2"/>
  <c r="AV11" i="2" s="1"/>
  <c r="AW15" i="2"/>
  <c r="AQ15" i="2"/>
  <c r="AQ11" i="2" s="1"/>
  <c r="AE15" i="2"/>
  <c r="AE11" i="2" s="1"/>
  <c r="AF15" i="2"/>
  <c r="AF11" i="2" s="1"/>
  <c r="AG15" i="2"/>
  <c r="AG11" i="2" s="1"/>
  <c r="AH15" i="2"/>
  <c r="AH11" i="2" s="1"/>
  <c r="AI15" i="2"/>
  <c r="AI11" i="2" s="1"/>
  <c r="AJ15" i="2"/>
  <c r="AJ11" i="2" s="1"/>
  <c r="AK15" i="2"/>
  <c r="AK11" i="2" s="1"/>
  <c r="AL15" i="2"/>
  <c r="AL11" i="2" s="1"/>
  <c r="AD15" i="2"/>
  <c r="AD11" i="2" s="1"/>
  <c r="AM15" i="2"/>
  <c r="AM11" i="2" s="1"/>
  <c r="AN15" i="2"/>
  <c r="AN11" i="2" s="1"/>
  <c r="AO15" i="2"/>
  <c r="AO11" i="2" s="1"/>
  <c r="AP15" i="2"/>
  <c r="AP11" i="2" s="1"/>
  <c r="X15" i="2"/>
  <c r="X11" i="2" s="1"/>
  <c r="Y15" i="2"/>
  <c r="Y11" i="2" s="1"/>
  <c r="Z15" i="2"/>
  <c r="Z11" i="2" s="1"/>
  <c r="AA15" i="2"/>
  <c r="AA11" i="2" s="1"/>
  <c r="AB15" i="2"/>
  <c r="AB11" i="2" s="1"/>
  <c r="AC15" i="2"/>
  <c r="AC11" i="2" s="1"/>
  <c r="W15" i="2"/>
  <c r="W11" i="2" s="1"/>
  <c r="V22" i="2"/>
  <c r="V21" i="2"/>
  <c r="V20" i="2"/>
  <c r="V19" i="2"/>
  <c r="V15" i="2"/>
  <c r="V13" i="2"/>
  <c r="V11" i="2"/>
  <c r="V10" i="2"/>
  <c r="V9" i="2"/>
  <c r="V8" i="2"/>
  <c r="V6" i="2"/>
  <c r="V3" i="2"/>
  <c r="T25" i="2"/>
  <c r="T23" i="2"/>
  <c r="T22" i="2"/>
  <c r="T21" i="2"/>
  <c r="T20" i="2"/>
  <c r="T17" i="2"/>
  <c r="T16" i="2"/>
  <c r="T15" i="2"/>
  <c r="T13" i="2"/>
  <c r="T11" i="2"/>
  <c r="T8" i="2"/>
  <c r="T7" i="2"/>
  <c r="T6" i="2"/>
  <c r="T5" i="2"/>
  <c r="AW8" i="2" l="1"/>
  <c r="AW11" i="2"/>
  <c r="H6" i="5"/>
  <c r="H7" i="5" s="1"/>
  <c r="AS8" i="2"/>
  <c r="AS11" i="2"/>
  <c r="F6" i="5"/>
  <c r="F7" i="5" s="1"/>
  <c r="Z5" i="2"/>
  <c r="Z8" i="2"/>
  <c r="AL5" i="2"/>
  <c r="AL8" i="2"/>
  <c r="AT5" i="2"/>
  <c r="AT8" i="2"/>
  <c r="Y5" i="2"/>
  <c r="Y8" i="2"/>
  <c r="AN5" i="2"/>
  <c r="AN8" i="2"/>
  <c r="AK5" i="2"/>
  <c r="AK8" i="2"/>
  <c r="AG5" i="2"/>
  <c r="AG8" i="2"/>
  <c r="W5" i="2"/>
  <c r="W8" i="2"/>
  <c r="AH5" i="2"/>
  <c r="AH8" i="2"/>
  <c r="AC5" i="2"/>
  <c r="AC8" i="2"/>
  <c r="AB5" i="2"/>
  <c r="AB8" i="2"/>
  <c r="X5" i="2"/>
  <c r="X8" i="2"/>
  <c r="AM5" i="2"/>
  <c r="AM8" i="2"/>
  <c r="AJ5" i="2"/>
  <c r="AJ8" i="2"/>
  <c r="AF5" i="2"/>
  <c r="AF8" i="2"/>
  <c r="AV5" i="2"/>
  <c r="AV8" i="2"/>
  <c r="AR5" i="2"/>
  <c r="AR8" i="2"/>
  <c r="AW5" i="2"/>
  <c r="AO5" i="2"/>
  <c r="AO8" i="2"/>
  <c r="AQ5" i="2"/>
  <c r="AQ8" i="2"/>
  <c r="AA5" i="2"/>
  <c r="AA8" i="2"/>
  <c r="AP5" i="2"/>
  <c r="AP8" i="2"/>
  <c r="AD5" i="2"/>
  <c r="AD8" i="2"/>
  <c r="AI5" i="2"/>
  <c r="AI8" i="2"/>
  <c r="AE5" i="2"/>
  <c r="AE8" i="2"/>
  <c r="AU5" i="2"/>
  <c r="AU8" i="2"/>
  <c r="AS5" i="2"/>
  <c r="F10" i="5" l="1"/>
  <c r="F11" i="5" s="1"/>
  <c r="H2" i="5"/>
  <c r="F2" i="5"/>
  <c r="H10" i="5"/>
  <c r="H11" i="5" s="1"/>
  <c r="D58" i="4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N61" i="2"/>
  <c r="O36" i="2"/>
  <c r="O27" i="2"/>
  <c r="O28" i="2"/>
  <c r="O29" i="2"/>
  <c r="O30" i="2"/>
  <c r="O31" i="2"/>
  <c r="O32" i="2"/>
  <c r="O33" i="2"/>
  <c r="O34" i="2"/>
  <c r="O35" i="2"/>
  <c r="O37" i="2"/>
  <c r="O38" i="2"/>
  <c r="O39" i="2"/>
  <c r="O40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3" i="2"/>
  <c r="B42" i="3" l="1"/>
  <c r="C42" i="3"/>
  <c r="A42" i="3"/>
  <c r="S37" i="2" l="1"/>
  <c r="S22" i="2"/>
  <c r="S21" i="2"/>
  <c r="S20" i="2"/>
  <c r="S19" i="2"/>
  <c r="S18" i="2"/>
  <c r="S17" i="2"/>
  <c r="S16" i="2"/>
  <c r="S15" i="2"/>
  <c r="S14" i="2"/>
  <c r="S13" i="2"/>
  <c r="S11" i="2"/>
  <c r="S10" i="2"/>
  <c r="S9" i="2"/>
  <c r="S8" i="2"/>
  <c r="S7" i="2"/>
  <c r="S25" i="2"/>
  <c r="S5" i="2"/>
  <c r="S4" i="2"/>
  <c r="S3" i="2"/>
  <c r="N49" i="2"/>
  <c r="N20" i="2"/>
  <c r="N54" i="2"/>
  <c r="N7" i="2"/>
  <c r="N14" i="2"/>
  <c r="N16" i="2"/>
  <c r="N3" i="2"/>
  <c r="N15" i="2"/>
  <c r="N32" i="2"/>
  <c r="N5" i="2"/>
  <c r="N31" i="2"/>
  <c r="N37" i="2"/>
  <c r="N53" i="2"/>
  <c r="N24" i="2"/>
  <c r="N21" i="2"/>
  <c r="N11" i="2"/>
  <c r="N18" i="2"/>
  <c r="N51" i="2"/>
  <c r="N25" i="2"/>
  <c r="N6" i="2"/>
  <c r="N33" i="2"/>
  <c r="N56" i="2"/>
  <c r="N23" i="2"/>
  <c r="N42" i="2"/>
  <c r="N19" i="2"/>
  <c r="N8" i="2"/>
  <c r="N45" i="2"/>
  <c r="N58" i="2"/>
  <c r="N34" i="2"/>
  <c r="N47" i="2"/>
  <c r="N12" i="2"/>
  <c r="N52" i="2"/>
  <c r="N48" i="2"/>
  <c r="N38" i="2"/>
  <c r="N57" i="2"/>
  <c r="N40" i="2"/>
  <c r="N50" i="2"/>
  <c r="N39" i="2"/>
  <c r="N35" i="2"/>
  <c r="N4" i="2"/>
  <c r="N13" i="2"/>
  <c r="N29" i="2"/>
  <c r="N17" i="2"/>
  <c r="N10" i="2"/>
  <c r="N9" i="2"/>
  <c r="N41" i="2"/>
  <c r="N44" i="2"/>
  <c r="N28" i="2"/>
  <c r="N26" i="2"/>
  <c r="N43" i="2"/>
  <c r="N55" i="2"/>
  <c r="N30" i="2"/>
  <c r="N22" i="2"/>
  <c r="N60" i="2" l="1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G2" i="2"/>
  <c r="G3" i="2" l="1"/>
  <c r="H3" i="2" s="1"/>
  <c r="G4" i="2"/>
  <c r="H4" i="2" s="1"/>
  <c r="G5" i="2"/>
  <c r="H5" i="2" s="1"/>
  <c r="G6" i="2"/>
  <c r="H6" i="2" s="1"/>
  <c r="G7" i="2"/>
  <c r="H7" i="2" s="1"/>
  <c r="G8" i="2"/>
  <c r="H8" i="2" s="1"/>
  <c r="G9" i="2"/>
  <c r="H9" i="2" s="1"/>
  <c r="G10" i="2"/>
  <c r="H10" i="2" s="1"/>
  <c r="G11" i="2"/>
  <c r="H11" i="2" s="1"/>
  <c r="G12" i="2"/>
  <c r="H12" i="2" s="1"/>
  <c r="G13" i="2"/>
  <c r="H13" i="2" s="1"/>
  <c r="G14" i="2"/>
  <c r="H14" i="2" s="1"/>
  <c r="G15" i="2"/>
  <c r="H15" i="2" s="1"/>
  <c r="G16" i="2"/>
  <c r="H16" i="2" s="1"/>
  <c r="G17" i="2"/>
  <c r="H17" i="2" s="1"/>
  <c r="G18" i="2"/>
  <c r="H18" i="2" s="1"/>
  <c r="G19" i="2"/>
  <c r="H19" i="2" s="1"/>
  <c r="G20" i="2"/>
  <c r="H20" i="2" s="1"/>
  <c r="G21" i="2"/>
  <c r="H21" i="2" s="1"/>
  <c r="G22" i="2"/>
  <c r="H22" i="2" s="1"/>
  <c r="G23" i="2"/>
  <c r="H23" i="2" s="1"/>
  <c r="G24" i="2"/>
  <c r="H24" i="2" s="1"/>
  <c r="G25" i="2"/>
  <c r="H25" i="2" s="1"/>
  <c r="G26" i="2"/>
  <c r="H26" i="2" s="1"/>
  <c r="G27" i="2"/>
  <c r="H27" i="2" s="1"/>
  <c r="G28" i="2"/>
  <c r="H28" i="2" s="1"/>
  <c r="G29" i="2"/>
  <c r="H29" i="2" s="1"/>
  <c r="G30" i="2"/>
  <c r="H30" i="2" s="1"/>
  <c r="G31" i="2"/>
  <c r="H31" i="2" s="1"/>
  <c r="G32" i="2"/>
  <c r="H32" i="2" s="1"/>
  <c r="G33" i="2"/>
  <c r="H33" i="2" s="1"/>
  <c r="G34" i="2"/>
  <c r="H34" i="2" s="1"/>
  <c r="G35" i="2"/>
  <c r="H35" i="2" s="1"/>
  <c r="G36" i="2"/>
  <c r="H36" i="2" s="1"/>
  <c r="G37" i="2"/>
  <c r="H37" i="2" s="1"/>
  <c r="G38" i="2"/>
  <c r="H38" i="2" s="1"/>
  <c r="G39" i="2"/>
  <c r="H39" i="2" s="1"/>
  <c r="G40" i="2"/>
  <c r="H40" i="2" s="1"/>
  <c r="G41" i="2"/>
  <c r="H41" i="2" s="1"/>
  <c r="P41" i="2" s="1"/>
  <c r="G42" i="2"/>
  <c r="H42" i="2" s="1"/>
  <c r="P42" i="2" s="1"/>
  <c r="G43" i="2"/>
  <c r="H43" i="2" s="1"/>
  <c r="P43" i="2" s="1"/>
  <c r="G44" i="2"/>
  <c r="H44" i="2" s="1"/>
  <c r="P44" i="2" s="1"/>
  <c r="G45" i="2"/>
  <c r="H45" i="2" s="1"/>
  <c r="P45" i="2" s="1"/>
  <c r="G46" i="2"/>
  <c r="H46" i="2" s="1"/>
  <c r="P46" i="2" s="1"/>
  <c r="G47" i="2"/>
  <c r="H47" i="2" s="1"/>
  <c r="P47" i="2" s="1"/>
  <c r="G48" i="2"/>
  <c r="H48" i="2" s="1"/>
  <c r="P48" i="2" s="1"/>
  <c r="G49" i="2"/>
  <c r="H49" i="2" s="1"/>
  <c r="P49" i="2" s="1"/>
  <c r="G50" i="2"/>
  <c r="H50" i="2" s="1"/>
  <c r="P50" i="2" s="1"/>
  <c r="G51" i="2"/>
  <c r="H51" i="2" s="1"/>
  <c r="P51" i="2" s="1"/>
  <c r="G52" i="2"/>
  <c r="H52" i="2" s="1"/>
  <c r="P52" i="2" s="1"/>
  <c r="G53" i="2"/>
  <c r="H53" i="2" s="1"/>
  <c r="P53" i="2" s="1"/>
  <c r="G54" i="2"/>
  <c r="H54" i="2" s="1"/>
  <c r="P54" i="2" s="1"/>
  <c r="G55" i="2"/>
  <c r="H55" i="2" s="1"/>
  <c r="P55" i="2" s="1"/>
  <c r="G56" i="2"/>
  <c r="H56" i="2" s="1"/>
  <c r="P56" i="2" s="1"/>
  <c r="G57" i="2"/>
  <c r="H57" i="2" s="1"/>
  <c r="P57" i="2" s="1"/>
  <c r="G58" i="2"/>
  <c r="H58" i="2" s="1"/>
  <c r="P58" i="2" s="1"/>
  <c r="K36" i="2" l="1"/>
  <c r="R36" i="2" s="1"/>
  <c r="M36" i="2"/>
  <c r="K27" i="2"/>
  <c r="R27" i="2" s="1"/>
  <c r="M27" i="2"/>
  <c r="K28" i="2"/>
  <c r="R28" i="2" s="1"/>
  <c r="M28" i="2"/>
  <c r="M34" i="2"/>
  <c r="K34" i="2"/>
  <c r="R34" i="2" s="1"/>
  <c r="K37" i="2"/>
  <c r="R37" i="2" s="1"/>
  <c r="M37" i="2"/>
  <c r="K33" i="2"/>
  <c r="R33" i="2" s="1"/>
  <c r="M33" i="2"/>
  <c r="K29" i="2"/>
  <c r="R29" i="2" s="1"/>
  <c r="M29" i="2"/>
  <c r="M25" i="2"/>
  <c r="K25" i="2"/>
  <c r="R25" i="2" s="1"/>
  <c r="M21" i="2"/>
  <c r="K21" i="2"/>
  <c r="R21" i="2" s="1"/>
  <c r="M17" i="2"/>
  <c r="K17" i="2"/>
  <c r="R17" i="2" s="1"/>
  <c r="M13" i="2"/>
  <c r="K13" i="2"/>
  <c r="R13" i="2" s="1"/>
  <c r="M9" i="2"/>
  <c r="K9" i="2"/>
  <c r="R9" i="2" s="1"/>
  <c r="M5" i="2"/>
  <c r="K5" i="2"/>
  <c r="R5" i="2" s="1"/>
  <c r="M40" i="2"/>
  <c r="K40" i="2"/>
  <c r="R40" i="2" s="1"/>
  <c r="M24" i="2"/>
  <c r="K24" i="2"/>
  <c r="R24" i="2" s="1"/>
  <c r="M20" i="2"/>
  <c r="K20" i="2"/>
  <c r="R20" i="2" s="1"/>
  <c r="M16" i="2"/>
  <c r="K16" i="2"/>
  <c r="R16" i="2" s="1"/>
  <c r="M12" i="2"/>
  <c r="K12" i="2"/>
  <c r="R12" i="2" s="1"/>
  <c r="M8" i="2"/>
  <c r="K8" i="2"/>
  <c r="R8" i="2" s="1"/>
  <c r="M4" i="2"/>
  <c r="K4" i="2"/>
  <c r="R4" i="2" s="1"/>
  <c r="M39" i="2"/>
  <c r="K39" i="2"/>
  <c r="R39" i="2" s="1"/>
  <c r="M35" i="2"/>
  <c r="K35" i="2"/>
  <c r="R35" i="2" s="1"/>
  <c r="M31" i="2"/>
  <c r="K31" i="2"/>
  <c r="R31" i="2" s="1"/>
  <c r="M23" i="2"/>
  <c r="K23" i="2"/>
  <c r="R23" i="2" s="1"/>
  <c r="M19" i="2"/>
  <c r="K19" i="2"/>
  <c r="R19" i="2" s="1"/>
  <c r="M15" i="2"/>
  <c r="K15" i="2"/>
  <c r="R15" i="2" s="1"/>
  <c r="M11" i="2"/>
  <c r="K11" i="2"/>
  <c r="R11" i="2" s="1"/>
  <c r="M7" i="2"/>
  <c r="K7" i="2"/>
  <c r="R7" i="2" s="1"/>
  <c r="K3" i="2"/>
  <c r="R3" i="2" s="1"/>
  <c r="M3" i="2"/>
  <c r="M32" i="2"/>
  <c r="K32" i="2"/>
  <c r="R32" i="2" s="1"/>
  <c r="M38" i="2"/>
  <c r="K38" i="2"/>
  <c r="R38" i="2" s="1"/>
  <c r="M30" i="2"/>
  <c r="K30" i="2"/>
  <c r="R30" i="2" s="1"/>
  <c r="M26" i="2"/>
  <c r="K26" i="2"/>
  <c r="R26" i="2" s="1"/>
  <c r="M22" i="2"/>
  <c r="K22" i="2"/>
  <c r="R22" i="2" s="1"/>
  <c r="M18" i="2"/>
  <c r="K18" i="2"/>
  <c r="R18" i="2" s="1"/>
  <c r="M14" i="2"/>
  <c r="K14" i="2"/>
  <c r="R14" i="2" s="1"/>
  <c r="M10" i="2"/>
  <c r="K10" i="2"/>
  <c r="R10" i="2" s="1"/>
  <c r="S6" i="2"/>
  <c r="M6" i="2"/>
  <c r="K6" i="2"/>
  <c r="R6" i="2" s="1"/>
  <c r="I56" i="2"/>
  <c r="I44" i="2"/>
  <c r="I36" i="2"/>
  <c r="P36" i="2"/>
  <c r="I51" i="2"/>
  <c r="I43" i="2"/>
  <c r="I39" i="2"/>
  <c r="P39" i="2"/>
  <c r="I31" i="2"/>
  <c r="P31" i="2"/>
  <c r="I23" i="2"/>
  <c r="P23" i="2"/>
  <c r="I19" i="2"/>
  <c r="P19" i="2"/>
  <c r="I15" i="2"/>
  <c r="P15" i="2"/>
  <c r="I11" i="2"/>
  <c r="P11" i="2"/>
  <c r="I7" i="2"/>
  <c r="P7" i="2"/>
  <c r="I58" i="2"/>
  <c r="I54" i="2"/>
  <c r="I50" i="2"/>
  <c r="I46" i="2"/>
  <c r="I42" i="2"/>
  <c r="I38" i="2"/>
  <c r="P38" i="2"/>
  <c r="I34" i="2"/>
  <c r="P34" i="2"/>
  <c r="I30" i="2"/>
  <c r="P30" i="2"/>
  <c r="I26" i="2"/>
  <c r="P26" i="2"/>
  <c r="I22" i="2"/>
  <c r="P22" i="2"/>
  <c r="I18" i="2"/>
  <c r="P18" i="2"/>
  <c r="I14" i="2"/>
  <c r="P14" i="2"/>
  <c r="I10" i="2"/>
  <c r="P10" i="2"/>
  <c r="I6" i="2"/>
  <c r="P6" i="2"/>
  <c r="I57" i="2"/>
  <c r="I53" i="2"/>
  <c r="I49" i="2"/>
  <c r="I45" i="2"/>
  <c r="I41" i="2"/>
  <c r="I37" i="2"/>
  <c r="P37" i="2"/>
  <c r="I33" i="2"/>
  <c r="P33" i="2"/>
  <c r="I29" i="2"/>
  <c r="P29" i="2"/>
  <c r="I25" i="2"/>
  <c r="P25" i="2"/>
  <c r="I21" i="2"/>
  <c r="P21" i="2"/>
  <c r="I17" i="2"/>
  <c r="P17" i="2"/>
  <c r="I13" i="2"/>
  <c r="P13" i="2"/>
  <c r="I9" i="2"/>
  <c r="P9" i="2"/>
  <c r="I5" i="2"/>
  <c r="P5" i="2"/>
  <c r="I48" i="2"/>
  <c r="I40" i="2"/>
  <c r="P40" i="2"/>
  <c r="I32" i="2"/>
  <c r="P32" i="2"/>
  <c r="I28" i="2"/>
  <c r="P28" i="2"/>
  <c r="I24" i="2"/>
  <c r="P24" i="2"/>
  <c r="I20" i="2"/>
  <c r="P20" i="2"/>
  <c r="I16" i="2"/>
  <c r="P16" i="2"/>
  <c r="I12" i="2"/>
  <c r="P12" i="2"/>
  <c r="I8" i="2"/>
  <c r="P8" i="2"/>
  <c r="I4" i="2"/>
  <c r="P4" i="2"/>
  <c r="I52" i="2"/>
  <c r="I55" i="2"/>
  <c r="I47" i="2"/>
  <c r="I35" i="2"/>
  <c r="P35" i="2"/>
  <c r="I27" i="2"/>
  <c r="P27" i="2"/>
  <c r="I3" i="2"/>
  <c r="P3" i="2"/>
  <c r="Q3" i="2" s="1"/>
  <c r="B2" i="5" l="1"/>
  <c r="C2" i="5"/>
  <c r="A6" i="5"/>
  <c r="D6" i="5" s="1"/>
  <c r="A10" i="5"/>
  <c r="D10" i="5" s="1"/>
  <c r="A2" i="5"/>
  <c r="D2" i="5" s="1"/>
  <c r="B13" i="5" l="1"/>
  <c r="H3" i="5"/>
  <c r="B15" i="5" s="1"/>
  <c r="B18" i="5" s="1"/>
  <c r="E1" i="3" s="1"/>
  <c r="F3" i="5"/>
  <c r="B14" i="5" s="1"/>
  <c r="B17" i="5" s="1"/>
  <c r="D1" i="3" s="1"/>
  <c r="D8" i="3" l="1"/>
  <c r="F8" i="3" s="1"/>
  <c r="D12" i="3"/>
  <c r="F12" i="3" s="1"/>
  <c r="D16" i="3"/>
  <c r="F16" i="3" s="1"/>
  <c r="D20" i="3"/>
  <c r="F20" i="3" s="1"/>
  <c r="D24" i="3"/>
  <c r="F24" i="3" s="1"/>
  <c r="D28" i="3"/>
  <c r="F28" i="3" s="1"/>
  <c r="D32" i="3"/>
  <c r="F32" i="3" s="1"/>
  <c r="D36" i="3"/>
  <c r="F36" i="3" s="1"/>
  <c r="D40" i="3"/>
  <c r="F40" i="3" s="1"/>
  <c r="D25" i="3"/>
  <c r="F25" i="3" s="1"/>
  <c r="D33" i="3"/>
  <c r="F33" i="3" s="1"/>
  <c r="D41" i="3"/>
  <c r="F41" i="3" s="1"/>
  <c r="D6" i="3"/>
  <c r="F6" i="3" s="1"/>
  <c r="D14" i="3"/>
  <c r="F14" i="3" s="1"/>
  <c r="D22" i="3"/>
  <c r="F22" i="3" s="1"/>
  <c r="D30" i="3"/>
  <c r="F30" i="3" s="1"/>
  <c r="D38" i="3"/>
  <c r="F38" i="3" s="1"/>
  <c r="D11" i="3"/>
  <c r="F11" i="3" s="1"/>
  <c r="D19" i="3"/>
  <c r="F19" i="3" s="1"/>
  <c r="D27" i="3"/>
  <c r="F27" i="3" s="1"/>
  <c r="D35" i="3"/>
  <c r="F35" i="3" s="1"/>
  <c r="D5" i="3"/>
  <c r="F5" i="3" s="1"/>
  <c r="D9" i="3"/>
  <c r="F9" i="3" s="1"/>
  <c r="D13" i="3"/>
  <c r="F13" i="3" s="1"/>
  <c r="D17" i="3"/>
  <c r="F17" i="3" s="1"/>
  <c r="D21" i="3"/>
  <c r="F21" i="3" s="1"/>
  <c r="D29" i="3"/>
  <c r="F29" i="3" s="1"/>
  <c r="D37" i="3"/>
  <c r="F37" i="3" s="1"/>
  <c r="D10" i="3"/>
  <c r="F10" i="3" s="1"/>
  <c r="D18" i="3"/>
  <c r="F18" i="3" s="1"/>
  <c r="D26" i="3"/>
  <c r="F26" i="3" s="1"/>
  <c r="D34" i="3"/>
  <c r="F34" i="3" s="1"/>
  <c r="D4" i="3"/>
  <c r="D7" i="3"/>
  <c r="F7" i="3" s="1"/>
  <c r="D15" i="3"/>
  <c r="F15" i="3" s="1"/>
  <c r="D23" i="3"/>
  <c r="F23" i="3" s="1"/>
  <c r="D31" i="3"/>
  <c r="F31" i="3" s="1"/>
  <c r="D39" i="3"/>
  <c r="F39" i="3" s="1"/>
  <c r="E6" i="3"/>
  <c r="G6" i="3" s="1"/>
  <c r="E10" i="3"/>
  <c r="G10" i="3" s="1"/>
  <c r="E14" i="3"/>
  <c r="G14" i="3" s="1"/>
  <c r="E18" i="3"/>
  <c r="G18" i="3" s="1"/>
  <c r="E22" i="3"/>
  <c r="G22" i="3" s="1"/>
  <c r="E26" i="3"/>
  <c r="G26" i="3" s="1"/>
  <c r="E30" i="3"/>
  <c r="G30" i="3" s="1"/>
  <c r="E34" i="3"/>
  <c r="G34" i="3" s="1"/>
  <c r="E38" i="3"/>
  <c r="G38" i="3" s="1"/>
  <c r="E4" i="3"/>
  <c r="E12" i="3"/>
  <c r="G12" i="3" s="1"/>
  <c r="E20" i="3"/>
  <c r="G20" i="3" s="1"/>
  <c r="E28" i="3"/>
  <c r="G28" i="3" s="1"/>
  <c r="E36" i="3"/>
  <c r="G36" i="3" s="1"/>
  <c r="E5" i="3"/>
  <c r="G5" i="3" s="1"/>
  <c r="E9" i="3"/>
  <c r="G9" i="3" s="1"/>
  <c r="E17" i="3"/>
  <c r="G17" i="3" s="1"/>
  <c r="E25" i="3"/>
  <c r="G25" i="3" s="1"/>
  <c r="E33" i="3"/>
  <c r="G33" i="3" s="1"/>
  <c r="E41" i="3"/>
  <c r="G41" i="3" s="1"/>
  <c r="E7" i="3"/>
  <c r="G7" i="3" s="1"/>
  <c r="E11" i="3"/>
  <c r="G11" i="3" s="1"/>
  <c r="E15" i="3"/>
  <c r="G15" i="3" s="1"/>
  <c r="E19" i="3"/>
  <c r="G19" i="3" s="1"/>
  <c r="E23" i="3"/>
  <c r="G23" i="3" s="1"/>
  <c r="E27" i="3"/>
  <c r="G27" i="3" s="1"/>
  <c r="E31" i="3"/>
  <c r="G31" i="3" s="1"/>
  <c r="E35" i="3"/>
  <c r="G35" i="3" s="1"/>
  <c r="E39" i="3"/>
  <c r="G39" i="3" s="1"/>
  <c r="E8" i="3"/>
  <c r="G8" i="3" s="1"/>
  <c r="E16" i="3"/>
  <c r="G16" i="3" s="1"/>
  <c r="E24" i="3"/>
  <c r="G24" i="3" s="1"/>
  <c r="E32" i="3"/>
  <c r="G32" i="3" s="1"/>
  <c r="E40" i="3"/>
  <c r="G40" i="3" s="1"/>
  <c r="E13" i="3"/>
  <c r="G13" i="3" s="1"/>
  <c r="E21" i="3"/>
  <c r="G21" i="3" s="1"/>
  <c r="E29" i="3"/>
  <c r="G29" i="3" s="1"/>
  <c r="E37" i="3"/>
  <c r="G37" i="3" s="1"/>
  <c r="G4" i="3" l="1"/>
  <c r="E42" i="3"/>
  <c r="G42" i="3"/>
  <c r="F4" i="3"/>
  <c r="F42" i="3" s="1"/>
  <c r="D42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Daniel Araujo Batista</author>
    <author>Daniel Araujo</author>
  </authors>
  <commentList>
    <comment ref="J2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Daniel Araujo Batista:</t>
        </r>
        <r>
          <rPr>
            <sz val="9"/>
            <color indexed="81"/>
            <rFont val="Segoe UI"/>
            <family val="2"/>
          </rPr>
          <t xml:space="preserve">
Valor do item cotado pelo Painel de Preços conforme preços do AVDF</t>
        </r>
      </text>
    </comment>
    <comment ref="L2" authorId="0" shapeId="0" xr:uid="{00000000-0006-0000-0000-000002000000}">
      <text>
        <r>
          <rPr>
            <b/>
            <sz val="9"/>
            <color indexed="81"/>
            <rFont val="Segoe UI"/>
            <family val="2"/>
          </rPr>
          <t>Daniel Araujo Batista:</t>
        </r>
        <r>
          <rPr>
            <sz val="9"/>
            <color indexed="81"/>
            <rFont val="Segoe UI"/>
            <family val="2"/>
          </rPr>
          <t xml:space="preserve">
Valor do item cotado pelo Mercado conforme preços do AVDF</t>
        </r>
      </text>
    </comment>
    <comment ref="W2" authorId="1" shapeId="0" xr:uid="{14022538-6879-4774-BB33-C3AD75B56C07}">
      <text>
        <r>
          <rPr>
            <b/>
            <sz val="9"/>
            <color indexed="81"/>
            <rFont val="Segoe UI"/>
            <charset val="1"/>
          </rPr>
          <t>Daniel Araujo:</t>
        </r>
        <r>
          <rPr>
            <sz val="9"/>
            <color indexed="81"/>
            <rFont val="Segoe UI"/>
            <charset val="1"/>
          </rPr>
          <t xml:space="preserve">
Fundação de Tecnologia do Estado do Acre
69920202
</t>
        </r>
      </text>
    </comment>
    <comment ref="X2" authorId="0" shapeId="0" xr:uid="{00000000-0006-0000-0000-000004000000}">
      <text>
        <r>
          <rPr>
            <b/>
            <sz val="9"/>
            <color indexed="81"/>
            <rFont val="Segoe UI"/>
            <family val="2"/>
          </rPr>
          <t>Daniel Araujo Batista:</t>
        </r>
        <r>
          <rPr>
            <sz val="9"/>
            <color indexed="81"/>
            <rFont val="Segoe UI"/>
            <family val="2"/>
          </rPr>
          <t xml:space="preserve">
69060000
Procuradoria da República no Amazonas</t>
        </r>
      </text>
    </comment>
    <comment ref="Y2" authorId="1" shapeId="0" xr:uid="{E73683AB-1AF1-4A12-999C-9FEB432F1CCD}">
      <text>
        <r>
          <rPr>
            <b/>
            <sz val="9"/>
            <color indexed="81"/>
            <rFont val="Segoe UI"/>
            <charset val="1"/>
          </rPr>
          <t>Daniel Araujo:</t>
        </r>
        <r>
          <rPr>
            <sz val="9"/>
            <color indexed="81"/>
            <rFont val="Segoe UI"/>
            <charset val="1"/>
          </rPr>
          <t xml:space="preserve">
Governo do Estado do Amapá
68900060</t>
        </r>
      </text>
    </comment>
    <comment ref="Z2" authorId="1" shapeId="0" xr:uid="{A382EB01-2BB1-4007-94AA-C90666AE2AB5}">
      <text>
        <r>
          <rPr>
            <b/>
            <sz val="9"/>
            <color indexed="81"/>
            <rFont val="Segoe UI"/>
            <charset val="1"/>
          </rPr>
          <t>Daniel Araujo:</t>
        </r>
        <r>
          <rPr>
            <sz val="9"/>
            <color indexed="81"/>
            <rFont val="Segoe UI"/>
            <charset val="1"/>
          </rPr>
          <t xml:space="preserve">
Governo do Estado do Pará
68130000</t>
        </r>
      </text>
    </comment>
    <comment ref="AA2" authorId="1" shapeId="0" xr:uid="{B5835300-5463-476E-8876-CA0CD309BA4F}">
      <text>
        <r>
          <rPr>
            <b/>
            <sz val="9"/>
            <color indexed="81"/>
            <rFont val="Segoe UI"/>
            <charset val="1"/>
          </rPr>
          <t>Daniel Araujo:</t>
        </r>
        <r>
          <rPr>
            <sz val="9"/>
            <color indexed="81"/>
            <rFont val="Segoe UI"/>
            <charset val="1"/>
          </rPr>
          <t xml:space="preserve">
Governo do Estado de Rondônia
76801470</t>
        </r>
      </text>
    </comment>
    <comment ref="AB2" authorId="1" shapeId="0" xr:uid="{C14FF629-52C7-42C9-B607-DB275840808A}">
      <text>
        <r>
          <rPr>
            <b/>
            <sz val="9"/>
            <color indexed="81"/>
            <rFont val="Segoe UI"/>
            <charset val="1"/>
          </rPr>
          <t>Daniel Araujo:</t>
        </r>
        <r>
          <rPr>
            <sz val="9"/>
            <color indexed="81"/>
            <rFont val="Segoe UI"/>
            <charset val="1"/>
          </rPr>
          <t xml:space="preserve">
Governo de Roraima
69301100</t>
        </r>
      </text>
    </comment>
    <comment ref="AC2" authorId="1" shapeId="0" xr:uid="{CBFB33D7-7B25-4CA7-8CE1-5F527E9D42CE}">
      <text>
        <r>
          <rPr>
            <b/>
            <sz val="9"/>
            <color indexed="81"/>
            <rFont val="Segoe UI"/>
            <charset val="1"/>
          </rPr>
          <t>Daniel Araujo:</t>
        </r>
        <r>
          <rPr>
            <sz val="9"/>
            <color indexed="81"/>
            <rFont val="Segoe UI"/>
            <charset val="1"/>
          </rPr>
          <t xml:space="preserve">
Governo do Estado de Tocantins
77493000</t>
        </r>
      </text>
    </comment>
    <comment ref="AD2" authorId="1" shapeId="0" xr:uid="{26B4D163-1D79-4759-9180-0AF8EEE2E95F}">
      <text>
        <r>
          <rPr>
            <b/>
            <sz val="9"/>
            <color indexed="81"/>
            <rFont val="Segoe UI"/>
            <charset val="1"/>
          </rPr>
          <t>Daniel Araujo:</t>
        </r>
        <r>
          <rPr>
            <sz val="9"/>
            <color indexed="81"/>
            <rFont val="Segoe UI"/>
            <charset val="1"/>
          </rPr>
          <t xml:space="preserve">
Escola do Governo de Alagoas
57020030</t>
        </r>
      </text>
    </comment>
    <comment ref="AE2" authorId="1" shapeId="0" xr:uid="{4B862DF1-25CE-4B68-BF8B-C6BFB072408E}">
      <text>
        <r>
          <rPr>
            <b/>
            <sz val="9"/>
            <color indexed="81"/>
            <rFont val="Segoe UI"/>
            <charset val="1"/>
          </rPr>
          <t>Daniel Araujo:</t>
        </r>
        <r>
          <rPr>
            <sz val="9"/>
            <color indexed="81"/>
            <rFont val="Segoe UI"/>
            <charset val="1"/>
          </rPr>
          <t xml:space="preserve">
Protocolo do Governo do Estado da Bahia
41745005</t>
        </r>
      </text>
    </comment>
    <comment ref="AF2" authorId="1" shapeId="0" xr:uid="{3B28F8D7-77C3-47E0-AD82-1E9299EF11C6}">
      <text>
        <r>
          <rPr>
            <b/>
            <sz val="9"/>
            <color indexed="81"/>
            <rFont val="Segoe UI"/>
            <charset val="1"/>
          </rPr>
          <t>Daniel Araujo:</t>
        </r>
        <r>
          <rPr>
            <sz val="9"/>
            <color indexed="81"/>
            <rFont val="Segoe UI"/>
            <charset val="1"/>
          </rPr>
          <t xml:space="preserve">
Governo do Estado do Ceará
60120020</t>
        </r>
      </text>
    </comment>
    <comment ref="AG2" authorId="1" shapeId="0" xr:uid="{0A4FFCDD-BA88-4D60-8D7E-601D4B15630C}">
      <text>
        <r>
          <rPr>
            <b/>
            <sz val="9"/>
            <color indexed="81"/>
            <rFont val="Segoe UI"/>
            <charset val="1"/>
          </rPr>
          <t>Daniel Araujo:</t>
        </r>
        <r>
          <rPr>
            <sz val="9"/>
            <color indexed="81"/>
            <rFont val="Segoe UI"/>
            <charset val="1"/>
          </rPr>
          <t xml:space="preserve">
Governo do Maranhão
65037010</t>
        </r>
      </text>
    </comment>
    <comment ref="AH2" authorId="1" shapeId="0" xr:uid="{18C829E2-0C2F-45D6-AFF3-DA2E3255305B}">
      <text>
        <r>
          <rPr>
            <b/>
            <sz val="9"/>
            <color indexed="81"/>
            <rFont val="Segoe UI"/>
            <charset val="1"/>
          </rPr>
          <t>Daniel Araujo:</t>
        </r>
        <r>
          <rPr>
            <sz val="9"/>
            <color indexed="81"/>
            <rFont val="Segoe UI"/>
            <charset val="1"/>
          </rPr>
          <t xml:space="preserve">
Governo da Paraíba
58040340</t>
        </r>
      </text>
    </comment>
    <comment ref="AI2" authorId="0" shapeId="0" xr:uid="{04538566-1D6D-4B8C-8473-E81525BA0808}">
      <text>
        <r>
          <rPr>
            <b/>
            <sz val="9"/>
            <color indexed="81"/>
            <rFont val="Segoe UI"/>
            <family val="2"/>
          </rPr>
          <t>Daniel Araujo Batista:</t>
        </r>
        <r>
          <rPr>
            <sz val="9"/>
            <color indexed="81"/>
            <rFont val="Segoe UI"/>
            <family val="2"/>
          </rPr>
          <t xml:space="preserve">
50050290
Governo de Pernambuco</t>
        </r>
      </text>
    </comment>
    <comment ref="AJ2" authorId="1" shapeId="0" xr:uid="{7EDC8C92-C33B-4995-A7C7-A733A9A02588}">
      <text>
        <r>
          <rPr>
            <b/>
            <sz val="9"/>
            <color indexed="81"/>
            <rFont val="Segoe UI"/>
            <charset val="1"/>
          </rPr>
          <t>Daniel Araujo:</t>
        </r>
        <r>
          <rPr>
            <sz val="9"/>
            <color indexed="81"/>
            <rFont val="Segoe UI"/>
            <charset val="1"/>
          </rPr>
          <t xml:space="preserve">
Governo do Piaui
58360000</t>
        </r>
      </text>
    </comment>
    <comment ref="AK2" authorId="1" shapeId="0" xr:uid="{1C8A9D40-12EA-4430-A893-BAB94B9531C1}">
      <text>
        <r>
          <rPr>
            <b/>
            <sz val="9"/>
            <color indexed="81"/>
            <rFont val="Segoe UI"/>
            <charset val="1"/>
          </rPr>
          <t>Daniel Araujo:</t>
        </r>
        <r>
          <rPr>
            <sz val="9"/>
            <color indexed="81"/>
            <rFont val="Segoe UI"/>
            <charset val="1"/>
          </rPr>
          <t xml:space="preserve">
Governo do Estado de Rondônia
76801470</t>
        </r>
      </text>
    </comment>
    <comment ref="AL2" authorId="1" shapeId="0" xr:uid="{83FE7D0B-A7B0-42B3-9D92-BE10DC8E1D17}">
      <text>
        <r>
          <rPr>
            <b/>
            <sz val="9"/>
            <color indexed="81"/>
            <rFont val="Segoe UI"/>
            <charset val="1"/>
          </rPr>
          <t>Daniel Araujo:</t>
        </r>
        <r>
          <rPr>
            <sz val="9"/>
            <color indexed="81"/>
            <rFont val="Segoe UI"/>
            <charset val="1"/>
          </rPr>
          <t xml:space="preserve">
Governo de Sergipe
49040020</t>
        </r>
      </text>
    </comment>
    <comment ref="AM2" authorId="1" shapeId="0" xr:uid="{FF2EAB6C-6CD4-4A2E-BBD1-E6D13B3E57F7}">
      <text>
        <r>
          <rPr>
            <b/>
            <sz val="9"/>
            <color indexed="81"/>
            <rFont val="Segoe UI"/>
            <charset val="1"/>
          </rPr>
          <t>Daniel Araujo:</t>
        </r>
        <r>
          <rPr>
            <sz val="9"/>
            <color indexed="81"/>
            <rFont val="Segoe UI"/>
            <charset val="1"/>
          </rPr>
          <t xml:space="preserve">
Governo do Espirito Santo
29052120</t>
        </r>
      </text>
    </comment>
    <comment ref="AN2" authorId="1" shapeId="0" xr:uid="{481ACA6A-7653-44F8-8996-8AA0CDAD7C4D}">
      <text>
        <r>
          <rPr>
            <b/>
            <sz val="9"/>
            <color indexed="81"/>
            <rFont val="Segoe UI"/>
            <charset val="1"/>
          </rPr>
          <t>Daniel Araujo:</t>
        </r>
        <r>
          <rPr>
            <sz val="9"/>
            <color indexed="81"/>
            <rFont val="Segoe UI"/>
            <charset val="1"/>
          </rPr>
          <t xml:space="preserve">
Governo de Minas Gerais
31630901</t>
        </r>
      </text>
    </comment>
    <comment ref="AO2" authorId="0" shapeId="0" xr:uid="{0864BA52-DC0A-49C1-815C-9B2C96775D25}">
      <text>
        <r>
          <rPr>
            <b/>
            <sz val="9"/>
            <color indexed="81"/>
            <rFont val="Segoe UI"/>
            <family val="2"/>
          </rPr>
          <t>Daniel Araujo Batista:</t>
        </r>
        <r>
          <rPr>
            <sz val="9"/>
            <color indexed="81"/>
            <rFont val="Segoe UI"/>
            <family val="2"/>
          </rPr>
          <t xml:space="preserve">
20021040
ANS</t>
        </r>
      </text>
    </comment>
    <comment ref="AP2" authorId="1" shapeId="0" xr:uid="{0D178561-47B1-47D5-B1F9-47DCCEF87C4B}">
      <text>
        <r>
          <rPr>
            <b/>
            <sz val="9"/>
            <color indexed="81"/>
            <rFont val="Segoe UI"/>
            <charset val="1"/>
          </rPr>
          <t>Daniel Araujo:</t>
        </r>
        <r>
          <rPr>
            <sz val="9"/>
            <color indexed="81"/>
            <rFont val="Segoe UI"/>
            <charset val="1"/>
          </rPr>
          <t xml:space="preserve">
Governo do Estado de São Paulo
01325000</t>
        </r>
      </text>
    </comment>
    <comment ref="AQ2" authorId="1" shapeId="0" xr:uid="{F434F0E1-8021-4C61-84FC-A6FA75856BC9}">
      <text>
        <r>
          <rPr>
            <b/>
            <sz val="9"/>
            <color indexed="81"/>
            <rFont val="Segoe UI"/>
            <charset val="1"/>
          </rPr>
          <t>Daniel Araujo:</t>
        </r>
        <r>
          <rPr>
            <sz val="9"/>
            <color indexed="81"/>
            <rFont val="Segoe UI"/>
            <charset val="1"/>
          </rPr>
          <t xml:space="preserve">
Governo do Estado do Paraná
87303250</t>
        </r>
      </text>
    </comment>
    <comment ref="AR2" authorId="1" shapeId="0" xr:uid="{ED595806-94F8-41B9-B74B-60B9FEAAB463}">
      <text>
        <r>
          <rPr>
            <b/>
            <sz val="9"/>
            <color indexed="81"/>
            <rFont val="Segoe UI"/>
            <charset val="1"/>
          </rPr>
          <t>Daniel Araujo:</t>
        </r>
        <r>
          <rPr>
            <sz val="9"/>
            <color indexed="81"/>
            <rFont val="Segoe UI"/>
            <charset val="1"/>
          </rPr>
          <t xml:space="preserve">
Secretaria de Fazenda do Rio Grande do Sul
96201020</t>
        </r>
      </text>
    </comment>
    <comment ref="AS2" authorId="0" shapeId="0" xr:uid="{B184DC33-0559-4A88-9477-397DF1E4BD0D}">
      <text>
        <r>
          <rPr>
            <b/>
            <sz val="9"/>
            <color indexed="81"/>
            <rFont val="Segoe UI"/>
            <family val="2"/>
          </rPr>
          <t>Daniel Araujo Batista:</t>
        </r>
        <r>
          <rPr>
            <sz val="9"/>
            <color indexed="81"/>
            <rFont val="Segoe UI"/>
            <family val="2"/>
          </rPr>
          <t xml:space="preserve">
88015130
Secretaria de Estado da Saúde de SC</t>
        </r>
      </text>
    </comment>
    <comment ref="AT2" authorId="0" shapeId="0" xr:uid="{A82E9BB4-862F-43F4-A8A9-655D19C3901C}">
      <text>
        <r>
          <rPr>
            <b/>
            <sz val="9"/>
            <color indexed="81"/>
            <rFont val="Segoe UI"/>
            <family val="2"/>
          </rPr>
          <t>Daniel Araujo Batista:</t>
        </r>
        <r>
          <rPr>
            <sz val="9"/>
            <color indexed="81"/>
            <rFont val="Segoe UI"/>
            <family val="2"/>
          </rPr>
          <t xml:space="preserve">
70297400
Vice-PR</t>
        </r>
      </text>
    </comment>
    <comment ref="AU2" authorId="1" shapeId="0" xr:uid="{F5869133-C51D-4633-BF64-78254DB42B69}">
      <text>
        <r>
          <rPr>
            <b/>
            <sz val="9"/>
            <color indexed="81"/>
            <rFont val="Segoe UI"/>
            <charset val="1"/>
          </rPr>
          <t>Daniel Araujo:</t>
        </r>
        <r>
          <rPr>
            <sz val="9"/>
            <color indexed="81"/>
            <rFont val="Segoe UI"/>
            <charset val="1"/>
          </rPr>
          <t xml:space="preserve">
Governo de Goias
74015005</t>
        </r>
      </text>
    </comment>
    <comment ref="AV2" authorId="1" shapeId="0" xr:uid="{BD9DF1AB-5E52-41AC-8133-DD4D6F9B581D}">
      <text>
        <r>
          <rPr>
            <b/>
            <sz val="9"/>
            <color indexed="81"/>
            <rFont val="Segoe UI"/>
            <charset val="1"/>
          </rPr>
          <t>Daniel Araujo:</t>
        </r>
        <r>
          <rPr>
            <sz val="9"/>
            <color indexed="81"/>
            <rFont val="Segoe UI"/>
            <charset val="1"/>
          </rPr>
          <t xml:space="preserve">
Governo de Mato Grosso do Sul
79031350</t>
        </r>
      </text>
    </comment>
    <comment ref="AW2" authorId="0" shapeId="0" xr:uid="{00000000-0006-0000-0000-000007000000}">
      <text>
        <r>
          <rPr>
            <b/>
            <sz val="9"/>
            <color indexed="81"/>
            <rFont val="Segoe UI"/>
            <family val="2"/>
          </rPr>
          <t>Daniel Araujo Batista:</t>
        </r>
        <r>
          <rPr>
            <sz val="9"/>
            <color indexed="81"/>
            <rFont val="Segoe UI"/>
            <family val="2"/>
          </rPr>
          <t xml:space="preserve">
Governo de Mato Grosso
78050970</t>
        </r>
      </text>
    </comment>
    <comment ref="S3" authorId="0" shapeId="0" xr:uid="{00000000-0006-0000-0000-000012000000}">
      <text>
        <r>
          <rPr>
            <b/>
            <sz val="9"/>
            <color indexed="81"/>
            <rFont val="Segoe UI"/>
            <family val="2"/>
          </rPr>
          <t>Daniel Araujo Batista:</t>
        </r>
        <r>
          <rPr>
            <sz val="9"/>
            <color indexed="81"/>
            <rFont val="Segoe UI"/>
            <family val="2"/>
          </rPr>
          <t xml:space="preserve">
Pacote com 2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tc={B133A32A-1C0A-489D-BD50-D9E942F25EE9}</author>
  </authors>
  <commentList>
    <comment ref="A13" authorId="0" shapeId="0" xr:uid="{B133A32A-1C0A-489D-BD50-D9E942F25EE9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Média das relações entre as lojas onlines e o painel de preços</t>
      </text>
    </comment>
  </commentList>
</comments>
</file>

<file path=xl/sharedStrings.xml><?xml version="1.0" encoding="utf-8"?>
<sst xmlns="http://schemas.openxmlformats.org/spreadsheetml/2006/main" count="439" uniqueCount="218">
  <si>
    <t>Item</t>
  </si>
  <si>
    <t>Adaptador DVI x Displayport</t>
  </si>
  <si>
    <t>Apontador de Lápis</t>
  </si>
  <si>
    <t>Barbante</t>
  </si>
  <si>
    <t>Bateria 9v</t>
  </si>
  <si>
    <t>Bloco recado autoadesivo</t>
  </si>
  <si>
    <t>Borracha apagadora de escrita</t>
  </si>
  <si>
    <t>Caixa Arquivo</t>
  </si>
  <si>
    <t>Caneta esferográfica - azul</t>
  </si>
  <si>
    <t>Caneta esferográfica - vermelha</t>
  </si>
  <si>
    <t>Caneta Marca CD</t>
  </si>
  <si>
    <t>Caneta Marca Texto</t>
  </si>
  <si>
    <t>CD-RW</t>
  </si>
  <si>
    <t>Clipe - 2/0</t>
  </si>
  <si>
    <t>Clipe - 6/0</t>
  </si>
  <si>
    <t>Cola adesiva instantânea</t>
  </si>
  <si>
    <t>Cola bastão</t>
  </si>
  <si>
    <t>Cola Líquida</t>
  </si>
  <si>
    <t>Cordão para crachá</t>
  </si>
  <si>
    <t>Display (prisma) de mesa</t>
  </si>
  <si>
    <t>DVD-RW</t>
  </si>
  <si>
    <t>Envelope - saco de papel</t>
  </si>
  <si>
    <t>Envelope Padrão</t>
  </si>
  <si>
    <t>Estilete - largo</t>
  </si>
  <si>
    <t>Extrator de grampo</t>
  </si>
  <si>
    <t>Fita adesiva - crepe</t>
  </si>
  <si>
    <t>Fita adesiva - durex</t>
  </si>
  <si>
    <t>Fita adesiva embalagem - plástica</t>
  </si>
  <si>
    <t>Fita dupla-face</t>
  </si>
  <si>
    <t>Fone de ouvido</t>
  </si>
  <si>
    <t>Grampeador - médio</t>
  </si>
  <si>
    <t>Grampo Grampeador - 26/6</t>
  </si>
  <si>
    <t>Grampo Trilho Encadernador</t>
  </si>
  <si>
    <t>Lápis Preto nº 2</t>
  </si>
  <si>
    <t>Lixeira PVC</t>
  </si>
  <si>
    <t>Luva Látex G</t>
  </si>
  <si>
    <t>Luva Látex M</t>
  </si>
  <si>
    <t>Luva Látex P</t>
  </si>
  <si>
    <t>Máscara contra Poeira</t>
  </si>
  <si>
    <t>Molha-dedos</t>
  </si>
  <si>
    <t>Mouse</t>
  </si>
  <si>
    <t>Mouse Pad</t>
  </si>
  <si>
    <t>Papel A4 - 75 g/m²</t>
  </si>
  <si>
    <t>Papel couchê/vergê</t>
  </si>
  <si>
    <t>Pasta arquivo "L"</t>
  </si>
  <si>
    <t>Pasta com aba e elástico</t>
  </si>
  <si>
    <t>Pen drive - 16 GB</t>
  </si>
  <si>
    <t>Pilha alcalina - AA</t>
  </si>
  <si>
    <t>Pilha alcalina - AAA</t>
  </si>
  <si>
    <t>Pincel atômico - azul</t>
  </si>
  <si>
    <t>Pincel atômico - vermelho</t>
  </si>
  <si>
    <t>Pincel quadro magnético - azul</t>
  </si>
  <si>
    <t>Pincel quadro magnético - vermelho</t>
  </si>
  <si>
    <t>Porta-lápis / Clipe / Lembrete</t>
  </si>
  <si>
    <t>Prancheta</t>
  </si>
  <si>
    <t>Régua de escritório</t>
  </si>
  <si>
    <t>Tesoura grande</t>
  </si>
  <si>
    <t>Quantidade</t>
  </si>
  <si>
    <t>Relevância</t>
  </si>
  <si>
    <t>Valor consumido</t>
  </si>
  <si>
    <t>Valor médio</t>
  </si>
  <si>
    <t>Pedido padrão</t>
  </si>
  <si>
    <t>Atual mercado</t>
  </si>
  <si>
    <t>Atual painel</t>
  </si>
  <si>
    <t>Preço Kalunga</t>
  </si>
  <si>
    <t>Preço Port</t>
  </si>
  <si>
    <t>Final total</t>
  </si>
  <si>
    <t>Valores médios</t>
  </si>
  <si>
    <t>Atual final</t>
  </si>
  <si>
    <t>Mercado/ Painel</t>
  </si>
  <si>
    <t>Painel x pedido</t>
  </si>
  <si>
    <t>Mercado x pedido</t>
  </si>
  <si>
    <t>Preço Gimba</t>
  </si>
  <si>
    <t>MÉDIA MERCADO/ PAINEL</t>
  </si>
  <si>
    <t>FATOR DE AJUSTE</t>
  </si>
  <si>
    <t>PEDIDO KALUNGA</t>
  </si>
  <si>
    <t>ITENS PAINEL - KALUNGA</t>
  </si>
  <si>
    <t>RELAÇÃO KALUNGA/ PAINEL</t>
  </si>
  <si>
    <t>AJUSTE KALUNGA/ PAINEL</t>
  </si>
  <si>
    <t>FRETE ITEM 1</t>
  </si>
  <si>
    <t>FRETE ITEM 2</t>
  </si>
  <si>
    <t>RELAÇÃO GIMBA/ PAINEL</t>
  </si>
  <si>
    <t>AJUSTE GIMBA/ PAINEL</t>
  </si>
  <si>
    <t>ITENS PAINEL - PORT</t>
  </si>
  <si>
    <t>PEDIDO PORT</t>
  </si>
  <si>
    <t>RELAÇÃO PORT/ PAINEL</t>
  </si>
  <si>
    <t>AJUSTE PORT/ PAINEL</t>
  </si>
  <si>
    <t>MÉDIA FRETE ITEM 1</t>
  </si>
  <si>
    <t>MÉDIA FRETE ITEM 2</t>
  </si>
  <si>
    <t>CUSTO DE ADMINISTRAÇÃO</t>
  </si>
  <si>
    <t>CUSTO DE OPERAÇÃO ITEM 1</t>
  </si>
  <si>
    <t>CUSTO DE OPERAÇÃO ITEM 2</t>
  </si>
  <si>
    <t>Final Painel + Mercado</t>
  </si>
  <si>
    <t>Custo Lote 1</t>
  </si>
  <si>
    <t>Custo Lote 2</t>
  </si>
  <si>
    <t>MÉDIA</t>
  </si>
  <si>
    <t>Atual painel R$</t>
  </si>
  <si>
    <t>Atual mercado R$</t>
  </si>
  <si>
    <t>DF</t>
  </si>
  <si>
    <t>GO</t>
  </si>
  <si>
    <t>MS</t>
  </si>
  <si>
    <t>MT</t>
  </si>
  <si>
    <t>PR</t>
  </si>
  <si>
    <t>RS</t>
  </si>
  <si>
    <t>SC</t>
  </si>
  <si>
    <t>ES</t>
  </si>
  <si>
    <t>MG</t>
  </si>
  <si>
    <t>RJ</t>
  </si>
  <si>
    <t>SP</t>
  </si>
  <si>
    <t>AL</t>
  </si>
  <si>
    <t>BA</t>
  </si>
  <si>
    <t>CE</t>
  </si>
  <si>
    <t>MA</t>
  </si>
  <si>
    <t>PB</t>
  </si>
  <si>
    <t>PE</t>
  </si>
  <si>
    <t>PI</t>
  </si>
  <si>
    <t>RN</t>
  </si>
  <si>
    <t>SE</t>
  </si>
  <si>
    <t>AC</t>
  </si>
  <si>
    <t>AM</t>
  </si>
  <si>
    <t>AP</t>
  </si>
  <si>
    <t>PA</t>
  </si>
  <si>
    <t>RO</t>
  </si>
  <si>
    <t>RR</t>
  </si>
  <si>
    <t>TO</t>
  </si>
  <si>
    <t>FRETES</t>
  </si>
  <si>
    <t>KALUNGA</t>
  </si>
  <si>
    <t>PORT</t>
  </si>
  <si>
    <t>Pessoas</t>
  </si>
  <si>
    <t>Pesos</t>
  </si>
  <si>
    <t>Painel x Pedido</t>
  </si>
  <si>
    <t>NORTE</t>
  </si>
  <si>
    <t>NORDESTE</t>
  </si>
  <si>
    <t>SUDESTE</t>
  </si>
  <si>
    <t>SUL</t>
  </si>
  <si>
    <t>CENTRO-OESTE</t>
  </si>
  <si>
    <t>REGIÃO</t>
  </si>
  <si>
    <t>ESTADO</t>
  </si>
  <si>
    <t>LOCAL</t>
  </si>
  <si>
    <t>CEP</t>
  </si>
  <si>
    <t>Fundação de Tecnologia do Estado do Acre</t>
  </si>
  <si>
    <t>69920-202</t>
  </si>
  <si>
    <t>Procuradoria da República no Amazonas</t>
  </si>
  <si>
    <t>69060-000</t>
  </si>
  <si>
    <t>Governo do Estado do Amapá</t>
  </si>
  <si>
    <t>68900-060</t>
  </si>
  <si>
    <t>Governo do Estado do Pará</t>
  </si>
  <si>
    <t>68130-000</t>
  </si>
  <si>
    <t>PESOS</t>
  </si>
  <si>
    <t>Governo do Estado de Rondônia</t>
  </si>
  <si>
    <t>76801-470</t>
  </si>
  <si>
    <t>Governo do Estado de Roraima</t>
  </si>
  <si>
    <t>69301-100</t>
  </si>
  <si>
    <t>Governo do Estado de Tocantins</t>
  </si>
  <si>
    <t>77493-000</t>
  </si>
  <si>
    <t>Escola do Governo de Alagoas</t>
  </si>
  <si>
    <t>57020-030</t>
  </si>
  <si>
    <t>Protocolo do Governo do Estado da Bahia</t>
  </si>
  <si>
    <t>41745-005</t>
  </si>
  <si>
    <t>Governo do Estado do Ceará</t>
  </si>
  <si>
    <t>60120-020</t>
  </si>
  <si>
    <t>Governo do Estado do Maranhão</t>
  </si>
  <si>
    <t>65037-010</t>
  </si>
  <si>
    <t>Governo do Estado da Paraíba</t>
  </si>
  <si>
    <t>58040-340</t>
  </si>
  <si>
    <t>Governo do Estado de Pernambuco</t>
  </si>
  <si>
    <t>50050-290</t>
  </si>
  <si>
    <t>Governo do Estado do Piaui</t>
  </si>
  <si>
    <t>58360-000</t>
  </si>
  <si>
    <t>Governo do Estado do Sergipe</t>
  </si>
  <si>
    <t>49040-020</t>
  </si>
  <si>
    <t>Governo do Estado do Espirito Santo</t>
  </si>
  <si>
    <t>Governo do Estado de Minas Gerais</t>
  </si>
  <si>
    <t>Agência Nacional de Saúde Suplementar</t>
  </si>
  <si>
    <t>Governo do Estado de São Paulo</t>
  </si>
  <si>
    <t>01325-000</t>
  </si>
  <si>
    <t>20021-040</t>
  </si>
  <si>
    <t>31630-901</t>
  </si>
  <si>
    <t>29052-120</t>
  </si>
  <si>
    <t>Governo do Estado do Paraná</t>
  </si>
  <si>
    <t>Secretaria de Fazenda do Rio Grande do Sul</t>
  </si>
  <si>
    <t>Secretaria de Saúde do Estado de Santa Catarina</t>
  </si>
  <si>
    <t>88015-130</t>
  </si>
  <si>
    <t>96201-020</t>
  </si>
  <si>
    <t>87303-250</t>
  </si>
  <si>
    <t>Vice-Presidência da República</t>
  </si>
  <si>
    <t>Governo do Estado de Goiás</t>
  </si>
  <si>
    <t>Governo do Estado de Mato Grosso do Sul</t>
  </si>
  <si>
    <t>Governo do Estado de Mato Grosso</t>
  </si>
  <si>
    <t>78050-970</t>
  </si>
  <si>
    <t>79031-350</t>
  </si>
  <si>
    <t>74015-005</t>
  </si>
  <si>
    <t>70297-400</t>
  </si>
  <si>
    <t>Oceano B2B</t>
  </si>
  <si>
    <t>ITENS PAINEL - OCEANOB2B</t>
  </si>
  <si>
    <t>PEDIDO OCEANO B2B</t>
  </si>
  <si>
    <t>PEDIDO TOTAL KALUNGA</t>
  </si>
  <si>
    <t>PEDIDO TOTAL OCEANO B2B</t>
  </si>
  <si>
    <t>PEDIDO TOTAL PORT</t>
  </si>
  <si>
    <t>OCEANO B2B</t>
  </si>
  <si>
    <t>A</t>
  </si>
  <si>
    <t>B</t>
  </si>
  <si>
    <t>C</t>
  </si>
  <si>
    <t>D</t>
  </si>
  <si>
    <t>E</t>
  </si>
  <si>
    <t>(D)-(C)</t>
  </si>
  <si>
    <t>(E)-(C)</t>
  </si>
  <si>
    <t>Consumo médio JAN-DEZ 2019</t>
  </si>
  <si>
    <t>PESO</t>
  </si>
  <si>
    <t>TOTAL</t>
  </si>
  <si>
    <t>FRETE KALUNGA</t>
  </si>
  <si>
    <t>FRETE PORT</t>
  </si>
  <si>
    <t>FRETE OCEANO B2B</t>
  </si>
  <si>
    <t>FRETE X PESO</t>
  </si>
  <si>
    <t>% FRETE SOBRE PEDIDO TOTAL</t>
  </si>
  <si>
    <t>(Mercado/ Painel) x Relevância</t>
  </si>
  <si>
    <t>Média ponderada</t>
  </si>
  <si>
    <t>Fator de conversão (1/média ponderada)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</si>
</sst>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000%"/>
    <numFmt numFmtId="166" formatCode="0.000"/>
    <numFmt numFmtId="167" formatCode="0.00000"/>
    <numFmt numFmtId="168" formatCode="0.000%"/>
    <numFmt numFmtId="169" formatCode="_-* #,##0_-;\-* #,##0_-;_-* &quot;-&quot;??_-;_-@_-"/>
    <numFmt numFmtId="170" formatCode="_-[$R$-416]\ * #,##0.00_-;\-[$R$-416]\ * #,##0.00_-;_-[$R$-416]\ * &quot;-&quot;??_-;_-@_-"/>
    <numFmt numFmtId="171" formatCode="_-* #,##0.000_-;\-* #,##0.000_-;_-* &quot;-&quot;??_-;_-@_-"/>
    <numFmt numFmtId="172" formatCode="_-* #,##0.0000_-;\-* #,##0.0000_-;_-* &quot;-&quot;??_-;_-@_-"/>
    <numFmt numFmtId="173" formatCode="_-* #,##0.0000_-;\-* #,##0.0000_-;_-* &quot;-&quot;??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13">
    <xf numFmtId="0" fontId="0" fillId="0" borderId="0" xfId="0"/>
    <xf numFmtId="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9" fontId="0" fillId="0" borderId="0" xfId="1" applyFont="1" applyAlignment="1">
      <alignment horizontal="center" vertical="center" wrapText="1"/>
    </xf>
    <xf numFmtId="167" fontId="0" fillId="0" borderId="0" xfId="0" applyNumberFormat="1" applyAlignment="1">
      <alignment horizontal="center" vertical="center" wrapText="1"/>
    </xf>
    <xf numFmtId="43" fontId="0" fillId="0" borderId="0" xfId="3" applyFont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3" fontId="0" fillId="0" borderId="1" xfId="3" applyFont="1" applyBorder="1" applyAlignment="1">
      <alignment horizontal="center" vertical="center" wrapText="1"/>
    </xf>
    <xf numFmtId="165" fontId="0" fillId="0" borderId="1" xfId="1" applyNumberFormat="1" applyFont="1" applyBorder="1" applyAlignment="1">
      <alignment horizontal="center" vertical="center" wrapText="1"/>
    </xf>
    <xf numFmtId="164" fontId="0" fillId="0" borderId="1" xfId="2" applyFont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 wrapText="1"/>
    </xf>
    <xf numFmtId="168" fontId="0" fillId="0" borderId="1" xfId="1" applyNumberFormat="1" applyFont="1" applyBorder="1" applyAlignment="1">
      <alignment horizontal="center" vertical="center" wrapText="1"/>
    </xf>
    <xf numFmtId="169" fontId="0" fillId="0" borderId="1" xfId="3" applyNumberFormat="1" applyFont="1" applyBorder="1" applyAlignment="1">
      <alignment horizontal="center" vertical="center" wrapText="1"/>
    </xf>
    <xf numFmtId="164" fontId="0" fillId="2" borderId="1" xfId="2" applyFont="1" applyFill="1" applyBorder="1" applyAlignment="1">
      <alignment horizontal="center" vertical="center" wrapText="1"/>
    </xf>
    <xf numFmtId="170" fontId="0" fillId="0" borderId="1" xfId="2" applyNumberFormat="1" applyFont="1" applyBorder="1" applyAlignment="1">
      <alignment horizontal="center" vertical="center" wrapText="1"/>
    </xf>
    <xf numFmtId="9" fontId="0" fillId="0" borderId="1" xfId="1" applyFont="1" applyBorder="1" applyAlignment="1">
      <alignment horizontal="center" vertical="center" wrapText="1"/>
    </xf>
    <xf numFmtId="9" fontId="0" fillId="3" borderId="1" xfId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9" fontId="0" fillId="0" borderId="0" xfId="0" applyNumberFormat="1" applyAlignment="1">
      <alignment horizontal="center" vertical="center" wrapText="1"/>
    </xf>
    <xf numFmtId="170" fontId="0" fillId="0" borderId="0" xfId="0" applyNumberFormat="1" applyAlignment="1">
      <alignment horizontal="center" vertical="center" wrapText="1"/>
    </xf>
    <xf numFmtId="170" fontId="0" fillId="5" borderId="1" xfId="2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4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65" fontId="0" fillId="0" borderId="0" xfId="1" applyNumberFormat="1" applyFont="1" applyBorder="1" applyAlignment="1">
      <alignment horizontal="center" vertical="center" wrapText="1"/>
    </xf>
    <xf numFmtId="164" fontId="0" fillId="0" borderId="0" xfId="2" applyFont="1" applyBorder="1" applyAlignment="1">
      <alignment horizontal="center" vertical="center" wrapText="1"/>
    </xf>
    <xf numFmtId="44" fontId="0" fillId="0" borderId="0" xfId="0" applyNumberFormat="1" applyBorder="1" applyAlignment="1">
      <alignment horizontal="center" vertical="center" wrapText="1"/>
    </xf>
    <xf numFmtId="168" fontId="0" fillId="0" borderId="0" xfId="1" applyNumberFormat="1" applyFont="1" applyBorder="1" applyAlignment="1">
      <alignment horizontal="center" vertical="center" wrapText="1"/>
    </xf>
    <xf numFmtId="169" fontId="0" fillId="0" borderId="0" xfId="3" applyNumberFormat="1" applyFont="1" applyBorder="1" applyAlignment="1">
      <alignment horizontal="center" vertical="center" wrapText="1"/>
    </xf>
    <xf numFmtId="170" fontId="0" fillId="0" borderId="0" xfId="2" applyNumberFormat="1" applyFont="1" applyBorder="1" applyAlignment="1">
      <alignment horizontal="center" vertical="center" wrapText="1"/>
    </xf>
    <xf numFmtId="9" fontId="0" fillId="0" borderId="0" xfId="1" applyFont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 vertical="center" wrapText="1"/>
    </xf>
    <xf numFmtId="9" fontId="0" fillId="5" borderId="1" xfId="1" applyFont="1" applyFill="1" applyBorder="1" applyAlignment="1">
      <alignment horizontal="center" vertical="center" wrapText="1"/>
    </xf>
    <xf numFmtId="171" fontId="0" fillId="0" borderId="1" xfId="3" applyNumberFormat="1" applyFont="1" applyBorder="1" applyAlignment="1">
      <alignment horizontal="center" vertical="center" wrapText="1"/>
    </xf>
    <xf numFmtId="44" fontId="0" fillId="0" borderId="4" xfId="0" applyNumberFormat="1" applyBorder="1" applyAlignment="1">
      <alignment horizontal="center" vertical="center" wrapText="1"/>
    </xf>
    <xf numFmtId="168" fontId="0" fillId="0" borderId="3" xfId="1" applyNumberFormat="1" applyFont="1" applyBorder="1" applyAlignment="1">
      <alignment horizontal="center" vertical="center" wrapText="1"/>
    </xf>
    <xf numFmtId="169" fontId="0" fillId="0" borderId="3" xfId="3" applyNumberFormat="1" applyFont="1" applyBorder="1" applyAlignment="1">
      <alignment horizontal="center" vertical="center" wrapText="1"/>
    </xf>
    <xf numFmtId="164" fontId="0" fillId="2" borderId="3" xfId="2" applyFont="1" applyFill="1" applyBorder="1" applyAlignment="1">
      <alignment horizontal="center" vertical="center" wrapText="1"/>
    </xf>
    <xf numFmtId="170" fontId="0" fillId="0" borderId="3" xfId="2" applyNumberFormat="1" applyFont="1" applyBorder="1" applyAlignment="1">
      <alignment horizontal="center" vertical="center" wrapText="1"/>
    </xf>
    <xf numFmtId="9" fontId="0" fillId="0" borderId="3" xfId="1" applyFont="1" applyBorder="1" applyAlignment="1">
      <alignment horizontal="center" vertical="center" wrapText="1"/>
    </xf>
    <xf numFmtId="1" fontId="0" fillId="0" borderId="5" xfId="0" applyNumberFormat="1" applyBorder="1" applyAlignment="1">
      <alignment horizontal="center" vertical="center" wrapText="1"/>
    </xf>
    <xf numFmtId="43" fontId="0" fillId="0" borderId="6" xfId="3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8" fontId="0" fillId="0" borderId="8" xfId="1" applyNumberFormat="1" applyFont="1" applyBorder="1" applyAlignment="1">
      <alignment horizontal="center" vertical="center" wrapText="1"/>
    </xf>
    <xf numFmtId="168" fontId="0" fillId="0" borderId="10" xfId="1" applyNumberFormat="1" applyFont="1" applyBorder="1" applyAlignment="1">
      <alignment horizontal="center" vertical="center" wrapText="1"/>
    </xf>
    <xf numFmtId="169" fontId="0" fillId="0" borderId="11" xfId="3" applyNumberFormat="1" applyFont="1" applyBorder="1" applyAlignment="1">
      <alignment horizontal="center" vertical="center" wrapText="1"/>
    </xf>
    <xf numFmtId="164" fontId="0" fillId="2" borderId="11" xfId="2" applyFont="1" applyFill="1" applyBorder="1" applyAlignment="1">
      <alignment horizontal="center" vertical="center" wrapText="1"/>
    </xf>
    <xf numFmtId="170" fontId="0" fillId="0" borderId="11" xfId="2" applyNumberFormat="1" applyFont="1" applyBorder="1" applyAlignment="1">
      <alignment horizontal="center" vertical="center" wrapText="1"/>
    </xf>
    <xf numFmtId="0" fontId="0" fillId="0" borderId="3" xfId="0" applyFill="1" applyBorder="1" applyAlignment="1">
      <alignment horizontal="left" vertical="center" wrapText="1"/>
    </xf>
    <xf numFmtId="4" fontId="0" fillId="0" borderId="3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5" fontId="0" fillId="0" borderId="3" xfId="1" applyNumberFormat="1" applyFont="1" applyBorder="1" applyAlignment="1">
      <alignment horizontal="center" vertical="center" wrapText="1"/>
    </xf>
    <xf numFmtId="164" fontId="0" fillId="0" borderId="3" xfId="2" applyFont="1" applyBorder="1" applyAlignment="1">
      <alignment horizontal="center" vertical="center" wrapText="1"/>
    </xf>
    <xf numFmtId="44" fontId="0" fillId="0" borderId="3" xfId="0" applyNumberFormat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0" fontId="0" fillId="4" borderId="8" xfId="0" applyFill="1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0" fillId="4" borderId="10" xfId="0" applyFill="1" applyBorder="1" applyAlignment="1">
      <alignment horizontal="left" vertical="center" wrapText="1"/>
    </xf>
    <xf numFmtId="4" fontId="0" fillId="0" borderId="11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5" fontId="0" fillId="0" borderId="11" xfId="1" applyNumberFormat="1" applyFont="1" applyBorder="1" applyAlignment="1">
      <alignment horizontal="center" vertical="center" wrapText="1"/>
    </xf>
    <xf numFmtId="164" fontId="0" fillId="0" borderId="11" xfId="2" applyFont="1" applyBorder="1" applyAlignment="1">
      <alignment horizontal="center" vertical="center" wrapText="1"/>
    </xf>
    <xf numFmtId="9" fontId="0" fillId="3" borderId="11" xfId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4" fontId="0" fillId="0" borderId="14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164" fontId="0" fillId="0" borderId="0" xfId="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43" fontId="0" fillId="0" borderId="16" xfId="3" applyFont="1" applyBorder="1" applyAlignment="1">
      <alignment horizontal="center" vertical="center" wrapText="1"/>
    </xf>
    <xf numFmtId="43" fontId="0" fillId="0" borderId="3" xfId="3" applyFont="1" applyBorder="1" applyAlignment="1">
      <alignment horizontal="center" vertical="center" wrapText="1"/>
    </xf>
    <xf numFmtId="43" fontId="0" fillId="0" borderId="22" xfId="3" applyFont="1" applyBorder="1" applyAlignment="1">
      <alignment horizontal="center" vertical="center" wrapText="1"/>
    </xf>
    <xf numFmtId="43" fontId="0" fillId="0" borderId="17" xfId="3" applyFont="1" applyBorder="1" applyAlignment="1">
      <alignment horizontal="center" vertical="center" wrapText="1"/>
    </xf>
    <xf numFmtId="43" fontId="0" fillId="0" borderId="8" xfId="3" applyFont="1" applyBorder="1" applyAlignment="1">
      <alignment horizontal="center" vertical="center" wrapText="1"/>
    </xf>
    <xf numFmtId="43" fontId="0" fillId="0" borderId="4" xfId="3" applyFont="1" applyBorder="1" applyAlignment="1">
      <alignment horizontal="center" vertical="center" wrapText="1"/>
    </xf>
    <xf numFmtId="43" fontId="0" fillId="0" borderId="5" xfId="3" applyFont="1" applyBorder="1" applyAlignment="1">
      <alignment horizontal="center" vertical="center" wrapText="1"/>
    </xf>
    <xf numFmtId="43" fontId="0" fillId="0" borderId="7" xfId="3" applyFont="1" applyBorder="1" applyAlignment="1">
      <alignment horizontal="center" vertical="center" wrapText="1"/>
    </xf>
    <xf numFmtId="43" fontId="0" fillId="0" borderId="23" xfId="3" applyFont="1" applyBorder="1" applyAlignment="1">
      <alignment horizontal="center" vertical="center" wrapText="1"/>
    </xf>
    <xf numFmtId="43" fontId="0" fillId="0" borderId="2" xfId="3" applyFont="1" applyBorder="1" applyAlignment="1">
      <alignment horizontal="center" vertical="center" wrapText="1"/>
    </xf>
    <xf numFmtId="43" fontId="0" fillId="0" borderId="24" xfId="3" applyFont="1" applyBorder="1" applyAlignment="1">
      <alignment horizontal="center" vertical="center" wrapText="1"/>
    </xf>
    <xf numFmtId="43" fontId="0" fillId="0" borderId="25" xfId="3" applyFont="1" applyBorder="1" applyAlignment="1">
      <alignment horizontal="center" vertical="center" wrapText="1"/>
    </xf>
    <xf numFmtId="43" fontId="0" fillId="0" borderId="26" xfId="3" applyFont="1" applyBorder="1" applyAlignment="1">
      <alignment horizontal="center" vertical="center" wrapText="1"/>
    </xf>
    <xf numFmtId="43" fontId="2" fillId="0" borderId="27" xfId="0" applyNumberFormat="1" applyFont="1" applyBorder="1" applyAlignment="1">
      <alignment horizontal="center" vertical="center" wrapText="1"/>
    </xf>
    <xf numFmtId="43" fontId="2" fillId="0" borderId="19" xfId="0" applyNumberFormat="1" applyFont="1" applyBorder="1" applyAlignment="1">
      <alignment horizontal="center" vertical="center" wrapText="1"/>
    </xf>
    <xf numFmtId="43" fontId="2" fillId="0" borderId="20" xfId="0" applyNumberFormat="1" applyFont="1" applyBorder="1" applyAlignment="1">
      <alignment horizontal="center" vertical="center" wrapText="1"/>
    </xf>
    <xf numFmtId="43" fontId="2" fillId="0" borderId="21" xfId="0" applyNumberFormat="1" applyFont="1" applyBorder="1" applyAlignment="1">
      <alignment horizontal="center" vertical="center" wrapText="1"/>
    </xf>
    <xf numFmtId="43" fontId="2" fillId="0" borderId="18" xfId="0" applyNumberFormat="1" applyFont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43" fontId="0" fillId="0" borderId="9" xfId="3" applyFont="1" applyBorder="1" applyAlignment="1">
      <alignment horizontal="center" vertical="center" wrapText="1"/>
    </xf>
    <xf numFmtId="43" fontId="0" fillId="0" borderId="12" xfId="3" applyFont="1" applyBorder="1" applyAlignment="1">
      <alignment horizontal="center" vertical="center" wrapText="1"/>
    </xf>
    <xf numFmtId="43" fontId="0" fillId="5" borderId="8" xfId="3" applyFont="1" applyFill="1" applyBorder="1" applyAlignment="1">
      <alignment horizontal="center" vertical="center" wrapText="1"/>
    </xf>
    <xf numFmtId="43" fontId="0" fillId="5" borderId="1" xfId="3" applyFont="1" applyFill="1" applyBorder="1" applyAlignment="1">
      <alignment horizontal="center" vertical="center" wrapText="1"/>
    </xf>
    <xf numFmtId="43" fontId="0" fillId="5" borderId="4" xfId="3" applyFont="1" applyFill="1" applyBorder="1" applyAlignment="1">
      <alignment horizontal="center" vertical="center" wrapText="1"/>
    </xf>
    <xf numFmtId="43" fontId="0" fillId="5" borderId="16" xfId="3" applyFont="1" applyFill="1" applyBorder="1" applyAlignment="1">
      <alignment horizontal="center" vertical="center" wrapText="1"/>
    </xf>
    <xf numFmtId="43" fontId="0" fillId="5" borderId="17" xfId="3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6" xfId="0" applyBorder="1" applyAlignment="1">
      <alignment vertical="center" wrapText="1"/>
    </xf>
    <xf numFmtId="43" fontId="0" fillId="0" borderId="3" xfId="3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43" fontId="0" fillId="0" borderId="1" xfId="3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43" fontId="0" fillId="0" borderId="11" xfId="3" applyFont="1" applyBorder="1" applyAlignment="1">
      <alignment vertical="center" wrapText="1"/>
    </xf>
    <xf numFmtId="9" fontId="0" fillId="0" borderId="33" xfId="0" applyNumberFormat="1" applyBorder="1" applyAlignment="1">
      <alignment vertical="center" wrapText="1"/>
    </xf>
    <xf numFmtId="9" fontId="0" fillId="0" borderId="0" xfId="1" applyFont="1" applyAlignment="1">
      <alignment vertical="center" wrapText="1"/>
    </xf>
    <xf numFmtId="43" fontId="0" fillId="0" borderId="17" xfId="3" applyFont="1" applyBorder="1" applyAlignment="1">
      <alignment vertical="center" wrapText="1"/>
    </xf>
    <xf numFmtId="43" fontId="0" fillId="0" borderId="9" xfId="3" applyFont="1" applyBorder="1" applyAlignment="1">
      <alignment vertical="center" wrapText="1"/>
    </xf>
    <xf numFmtId="43" fontId="0" fillId="0" borderId="12" xfId="3" applyFont="1" applyBorder="1" applyAlignment="1">
      <alignment vertical="center" wrapText="1"/>
    </xf>
    <xf numFmtId="43" fontId="0" fillId="0" borderId="0" xfId="0" applyNumberFormat="1" applyAlignment="1">
      <alignment vertical="center" wrapText="1"/>
    </xf>
    <xf numFmtId="0" fontId="0" fillId="6" borderId="8" xfId="0" applyNumberForma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0" fontId="0" fillId="0" borderId="0" xfId="1" applyNumberFormat="1" applyFont="1" applyBorder="1" applyAlignment="1">
      <alignment horizontal="center" vertical="center" wrapText="1"/>
    </xf>
    <xf numFmtId="0" fontId="0" fillId="7" borderId="6" xfId="0" applyFill="1" applyBorder="1" applyAlignment="1">
      <alignment horizontal="center" vertical="center" wrapText="1"/>
    </xf>
    <xf numFmtId="0" fontId="0" fillId="0" borderId="1" xfId="0" applyBorder="1"/>
    <xf numFmtId="0" fontId="0" fillId="7" borderId="7" xfId="0" applyFill="1" applyBorder="1" applyAlignment="1">
      <alignment horizontal="center" vertical="center" wrapText="1"/>
    </xf>
    <xf numFmtId="0" fontId="0" fillId="8" borderId="6" xfId="0" applyFill="1" applyBorder="1" applyAlignment="1">
      <alignment horizontal="center" vertical="center" wrapText="1"/>
    </xf>
    <xf numFmtId="172" fontId="0" fillId="0" borderId="1" xfId="0" applyNumberFormat="1" applyBorder="1" applyAlignment="1">
      <alignment horizontal="center" vertical="center" wrapText="1"/>
    </xf>
    <xf numFmtId="172" fontId="0" fillId="0" borderId="9" xfId="0" applyNumberFormat="1" applyBorder="1" applyAlignment="1">
      <alignment horizontal="center" vertical="center" wrapText="1"/>
    </xf>
    <xf numFmtId="170" fontId="0" fillId="0" borderId="29" xfId="0" applyNumberFormat="1" applyBorder="1" applyAlignment="1">
      <alignment horizontal="center" vertical="center" wrapText="1"/>
    </xf>
    <xf numFmtId="170" fontId="0" fillId="0" borderId="36" xfId="0" applyNumberForma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43" fontId="0" fillId="8" borderId="35" xfId="3" applyFont="1" applyFill="1" applyBorder="1" applyAlignment="1">
      <alignment horizontal="center" vertical="center" wrapText="1"/>
    </xf>
    <xf numFmtId="43" fontId="0" fillId="7" borderId="35" xfId="3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 wrapText="1"/>
    </xf>
    <xf numFmtId="0" fontId="0" fillId="9" borderId="11" xfId="0" applyFill="1" applyBorder="1" applyAlignment="1">
      <alignment horizontal="center" vertical="center" wrapText="1"/>
    </xf>
    <xf numFmtId="173" fontId="0" fillId="0" borderId="8" xfId="0" applyNumberFormat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170" fontId="0" fillId="9" borderId="29" xfId="0" applyNumberFormat="1" applyFill="1" applyBorder="1" applyAlignment="1">
      <alignment horizontal="center" vertical="center" wrapText="1"/>
    </xf>
    <xf numFmtId="170" fontId="0" fillId="0" borderId="30" xfId="0" applyNumberFormat="1" applyBorder="1" applyAlignment="1">
      <alignment horizontal="center" vertical="center" wrapText="1"/>
    </xf>
    <xf numFmtId="0" fontId="0" fillId="9" borderId="8" xfId="0" applyNumberFormat="1" applyFill="1" applyBorder="1" applyAlignment="1">
      <alignment horizontal="center" vertical="center" wrapText="1"/>
    </xf>
    <xf numFmtId="0" fontId="0" fillId="9" borderId="8" xfId="0" applyFill="1" applyBorder="1" applyAlignment="1">
      <alignment horizontal="center" vertical="center" wrapText="1"/>
    </xf>
    <xf numFmtId="0" fontId="0" fillId="9" borderId="1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6" borderId="9" xfId="0" applyFill="1" applyBorder="1" applyAlignment="1">
      <alignment horizontal="center"/>
    </xf>
    <xf numFmtId="0" fontId="0" fillId="11" borderId="9" xfId="0" applyFill="1" applyBorder="1" applyAlignment="1">
      <alignment horizontal="center"/>
    </xf>
    <xf numFmtId="0" fontId="0" fillId="12" borderId="9" xfId="0" applyFill="1" applyBorder="1" applyAlignment="1">
      <alignment horizontal="center"/>
    </xf>
    <xf numFmtId="0" fontId="0" fillId="13" borderId="9" xfId="0" applyFill="1" applyBorder="1" applyAlignment="1">
      <alignment horizontal="center"/>
    </xf>
    <xf numFmtId="0" fontId="0" fillId="10" borderId="9" xfId="0" applyFill="1" applyBorder="1" applyAlignment="1">
      <alignment horizontal="center"/>
    </xf>
    <xf numFmtId="0" fontId="0" fillId="10" borderId="12" xfId="0" applyFill="1" applyBorder="1" applyAlignment="1">
      <alignment horizontal="center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0" fillId="11" borderId="17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11" borderId="41" xfId="0" applyFill="1" applyBorder="1" applyAlignment="1">
      <alignment horizontal="center"/>
    </xf>
    <xf numFmtId="0" fontId="0" fillId="13" borderId="17" xfId="0" applyFill="1" applyBorder="1" applyAlignment="1">
      <alignment horizontal="center"/>
    </xf>
    <xf numFmtId="0" fontId="0" fillId="12" borderId="7" xfId="0" applyFill="1" applyBorder="1" applyAlignment="1">
      <alignment horizontal="center"/>
    </xf>
    <xf numFmtId="0" fontId="0" fillId="12" borderId="12" xfId="0" applyFill="1" applyBorder="1" applyAlignment="1">
      <alignment horizontal="center"/>
    </xf>
    <xf numFmtId="0" fontId="0" fillId="13" borderId="41" xfId="0" applyFill="1" applyBorder="1" applyAlignment="1">
      <alignment horizontal="center"/>
    </xf>
    <xf numFmtId="0" fontId="0" fillId="10" borderId="7" xfId="0" applyFill="1" applyBorder="1" applyAlignment="1">
      <alignment horizontal="center"/>
    </xf>
    <xf numFmtId="0" fontId="0" fillId="6" borderId="6" xfId="0" applyFill="1" applyBorder="1" applyAlignment="1">
      <alignment horizontal="left"/>
    </xf>
    <xf numFmtId="0" fontId="0" fillId="6" borderId="1" xfId="0" applyFill="1" applyBorder="1" applyAlignment="1">
      <alignment horizontal="left"/>
    </xf>
    <xf numFmtId="0" fontId="0" fillId="6" borderId="11" xfId="0" applyFill="1" applyBorder="1" applyAlignment="1">
      <alignment horizontal="left"/>
    </xf>
    <xf numFmtId="0" fontId="0" fillId="11" borderId="3" xfId="0" applyFill="1" applyBorder="1" applyAlignment="1">
      <alignment horizontal="left"/>
    </xf>
    <xf numFmtId="0" fontId="0" fillId="11" borderId="1" xfId="0" applyFill="1" applyBorder="1" applyAlignment="1">
      <alignment horizontal="left"/>
    </xf>
    <xf numFmtId="0" fontId="0" fillId="11" borderId="2" xfId="0" applyFill="1" applyBorder="1" applyAlignment="1">
      <alignment horizontal="left"/>
    </xf>
    <xf numFmtId="0" fontId="0" fillId="12" borderId="6" xfId="0" applyFill="1" applyBorder="1" applyAlignment="1">
      <alignment horizontal="left"/>
    </xf>
    <xf numFmtId="0" fontId="0" fillId="12" borderId="1" xfId="0" applyFill="1" applyBorder="1" applyAlignment="1">
      <alignment horizontal="left"/>
    </xf>
    <xf numFmtId="0" fontId="0" fillId="12" borderId="11" xfId="0" applyFill="1" applyBorder="1" applyAlignment="1">
      <alignment horizontal="left"/>
    </xf>
    <xf numFmtId="0" fontId="0" fillId="13" borderId="3" xfId="0" applyFill="1" applyBorder="1" applyAlignment="1">
      <alignment horizontal="left"/>
    </xf>
    <xf numFmtId="0" fontId="0" fillId="13" borderId="1" xfId="0" applyFill="1" applyBorder="1" applyAlignment="1">
      <alignment horizontal="left"/>
    </xf>
    <xf numFmtId="0" fontId="0" fillId="13" borderId="2" xfId="0" applyFill="1" applyBorder="1" applyAlignment="1">
      <alignment horizontal="left"/>
    </xf>
    <xf numFmtId="0" fontId="0" fillId="10" borderId="6" xfId="0" applyFill="1" applyBorder="1" applyAlignment="1">
      <alignment horizontal="left"/>
    </xf>
    <xf numFmtId="0" fontId="0" fillId="10" borderId="1" xfId="0" applyFill="1" applyBorder="1" applyAlignment="1">
      <alignment horizontal="left"/>
    </xf>
    <xf numFmtId="0" fontId="0" fillId="10" borderId="11" xfId="0" applyFill="1" applyBorder="1" applyAlignment="1">
      <alignment horizontal="left"/>
    </xf>
    <xf numFmtId="0" fontId="2" fillId="0" borderId="43" xfId="0" applyFont="1" applyBorder="1" applyAlignment="1">
      <alignment horizontal="center" vertical="center"/>
    </xf>
    <xf numFmtId="0" fontId="0" fillId="6" borderId="5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 wrapText="1"/>
    </xf>
    <xf numFmtId="0" fontId="0" fillId="11" borderId="16" xfId="0" applyFill="1" applyBorder="1" applyAlignment="1">
      <alignment horizontal="center" vertical="center" wrapText="1"/>
    </xf>
    <xf numFmtId="0" fontId="0" fillId="11" borderId="8" xfId="0" applyFill="1" applyBorder="1" applyAlignment="1">
      <alignment horizontal="center" vertical="center" wrapText="1"/>
    </xf>
    <xf numFmtId="0" fontId="0" fillId="11" borderId="23" xfId="0" applyFill="1" applyBorder="1" applyAlignment="1">
      <alignment horizontal="center" vertical="center" wrapText="1"/>
    </xf>
    <xf numFmtId="0" fontId="0" fillId="12" borderId="5" xfId="0" applyFill="1" applyBorder="1" applyAlignment="1">
      <alignment horizontal="center" vertical="center" wrapText="1"/>
    </xf>
    <xf numFmtId="0" fontId="0" fillId="12" borderId="8" xfId="0" applyFill="1" applyBorder="1" applyAlignment="1">
      <alignment horizontal="center" vertical="center" wrapText="1"/>
    </xf>
    <xf numFmtId="0" fontId="0" fillId="12" borderId="10" xfId="0" applyFill="1" applyBorder="1" applyAlignment="1">
      <alignment horizontal="center" vertical="center" wrapText="1"/>
    </xf>
    <xf numFmtId="0" fontId="0" fillId="13" borderId="16" xfId="0" applyFill="1" applyBorder="1" applyAlignment="1">
      <alignment horizontal="center" vertical="center" wrapText="1"/>
    </xf>
    <xf numFmtId="0" fontId="0" fillId="13" borderId="8" xfId="0" applyFill="1" applyBorder="1" applyAlignment="1">
      <alignment horizontal="center" vertical="center" wrapText="1"/>
    </xf>
    <xf numFmtId="0" fontId="0" fillId="13" borderId="23" xfId="0" applyFill="1" applyBorder="1" applyAlignment="1">
      <alignment horizontal="center" vertical="center" wrapText="1"/>
    </xf>
    <xf numFmtId="0" fontId="0" fillId="10" borderId="5" xfId="0" applyFill="1" applyBorder="1" applyAlignment="1">
      <alignment horizontal="center" vertical="center" wrapText="1"/>
    </xf>
    <xf numFmtId="0" fontId="0" fillId="10" borderId="8" xfId="0" applyFill="1" applyBorder="1" applyAlignment="1">
      <alignment horizontal="center" vertical="center" wrapText="1"/>
    </xf>
    <xf numFmtId="0" fontId="0" fillId="10" borderId="10" xfId="0" applyFill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/>
    </xf>
    <xf numFmtId="0" fontId="0" fillId="6" borderId="13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6" borderId="14" xfId="0" applyFill="1" applyBorder="1" applyAlignment="1">
      <alignment horizontal="center" vertical="center"/>
    </xf>
    <xf numFmtId="0" fontId="0" fillId="11" borderId="22" xfId="0" applyFill="1" applyBorder="1" applyAlignment="1">
      <alignment horizontal="center" vertical="center"/>
    </xf>
    <xf numFmtId="0" fontId="0" fillId="11" borderId="4" xfId="0" applyFill="1" applyBorder="1" applyAlignment="1">
      <alignment horizontal="center" vertical="center"/>
    </xf>
    <xf numFmtId="0" fontId="0" fillId="11" borderId="24" xfId="0" applyFill="1" applyBorder="1" applyAlignment="1">
      <alignment horizontal="center" vertical="center"/>
    </xf>
    <xf numFmtId="0" fontId="0" fillId="12" borderId="13" xfId="0" applyFill="1" applyBorder="1" applyAlignment="1">
      <alignment horizontal="center" vertical="center"/>
    </xf>
    <xf numFmtId="0" fontId="0" fillId="12" borderId="4" xfId="0" applyFill="1" applyBorder="1" applyAlignment="1">
      <alignment horizontal="center" vertical="center"/>
    </xf>
    <xf numFmtId="0" fontId="0" fillId="12" borderId="14" xfId="0" applyFill="1" applyBorder="1" applyAlignment="1">
      <alignment horizontal="center" vertical="center"/>
    </xf>
    <xf numFmtId="0" fontId="0" fillId="13" borderId="22" xfId="0" applyFill="1" applyBorder="1" applyAlignment="1">
      <alignment horizontal="center" vertical="center"/>
    </xf>
    <xf numFmtId="0" fontId="0" fillId="13" borderId="4" xfId="0" applyFill="1" applyBorder="1" applyAlignment="1">
      <alignment horizontal="center" vertical="center"/>
    </xf>
    <xf numFmtId="0" fontId="0" fillId="13" borderId="24" xfId="0" applyFill="1" applyBorder="1" applyAlignment="1">
      <alignment horizontal="center" vertical="center"/>
    </xf>
    <xf numFmtId="0" fontId="0" fillId="10" borderId="13" xfId="0" applyFill="1" applyBorder="1" applyAlignment="1">
      <alignment horizontal="center" vertical="center"/>
    </xf>
    <xf numFmtId="0" fontId="0" fillId="10" borderId="4" xfId="0" applyFill="1" applyBorder="1" applyAlignment="1">
      <alignment horizontal="center" vertical="center"/>
    </xf>
    <xf numFmtId="0" fontId="0" fillId="10" borderId="14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 wrapText="1"/>
    </xf>
    <xf numFmtId="0" fontId="0" fillId="9" borderId="4" xfId="0" applyFill="1" applyBorder="1" applyAlignment="1">
      <alignment horizontal="center" vertical="center" wrapText="1"/>
    </xf>
    <xf numFmtId="0" fontId="0" fillId="9" borderId="14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16" fontId="0" fillId="0" borderId="0" xfId="0" applyNumberFormat="1" applyAlignment="1">
      <alignment horizontal="center" vertical="center" wrapText="1"/>
    </xf>
    <xf numFmtId="0" fontId="0" fillId="9" borderId="13" xfId="0" applyFill="1" applyBorder="1" applyAlignment="1">
      <alignment horizontal="center" vertical="center" wrapText="1"/>
    </xf>
    <xf numFmtId="173" fontId="0" fillId="0" borderId="1" xfId="0" applyNumberFormat="1" applyBorder="1" applyAlignment="1">
      <alignment horizontal="center" vertical="center" wrapText="1"/>
    </xf>
    <xf numFmtId="0" fontId="0" fillId="8" borderId="5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73" fontId="0" fillId="0" borderId="9" xfId="0" applyNumberFormat="1" applyBorder="1" applyAlignment="1">
      <alignment horizontal="center" vertical="center" wrapText="1"/>
    </xf>
    <xf numFmtId="172" fontId="0" fillId="0" borderId="8" xfId="0" applyNumberFormat="1" applyBorder="1" applyAlignment="1">
      <alignment horizontal="center" vertical="center" wrapText="1"/>
    </xf>
    <xf numFmtId="0" fontId="0" fillId="0" borderId="0" xfId="0" applyAlignment="1">
      <alignment wrapText="1"/>
    </xf>
    <xf numFmtId="10" fontId="2" fillId="0" borderId="0" xfId="0" applyNumberFormat="1" applyFont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173" fontId="0" fillId="0" borderId="11" xfId="0" applyNumberFormat="1" applyBorder="1" applyAlignment="1">
      <alignment horizontal="center" vertical="center" wrapText="1"/>
    </xf>
    <xf numFmtId="0" fontId="0" fillId="8" borderId="39" xfId="0" applyFill="1" applyBorder="1" applyAlignment="1">
      <alignment horizontal="center" vertical="center" wrapText="1"/>
    </xf>
    <xf numFmtId="0" fontId="0" fillId="8" borderId="40" xfId="0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1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8" borderId="38" xfId="0" applyFill="1" applyBorder="1" applyAlignment="1">
      <alignment horizontal="center" vertical="center" wrapText="1"/>
    </xf>
    <xf numFmtId="173" fontId="0" fillId="0" borderId="10" xfId="0" applyNumberFormat="1" applyBorder="1" applyAlignment="1">
      <alignment horizontal="center" vertical="center" wrapText="1"/>
    </xf>
    <xf numFmtId="173" fontId="0" fillId="0" borderId="12" xfId="0" applyNumberFormat="1" applyBorder="1" applyAlignment="1">
      <alignment horizontal="center" vertical="center" wrapText="1"/>
    </xf>
    <xf numFmtId="0" fontId="0" fillId="0" borderId="33" xfId="0" applyBorder="1" applyAlignment="1">
      <alignment horizontal="center"/>
    </xf>
    <xf numFmtId="0" fontId="0" fillId="0" borderId="46" xfId="0" applyBorder="1" applyAlignment="1">
      <alignment horizontal="center"/>
    </xf>
    <xf numFmtId="173" fontId="0" fillId="0" borderId="47" xfId="0" applyNumberFormat="1" applyBorder="1" applyAlignment="1">
      <alignment horizontal="center"/>
    </xf>
    <xf numFmtId="0" fontId="0" fillId="7" borderId="18" xfId="0" applyFill="1" applyBorder="1" applyAlignment="1">
      <alignment horizontal="center" vertical="center" wrapText="1"/>
    </xf>
    <xf numFmtId="0" fontId="0" fillId="7" borderId="19" xfId="0" applyFill="1" applyBorder="1" applyAlignment="1">
      <alignment horizontal="center" vertical="center" wrapText="1"/>
    </xf>
    <xf numFmtId="0" fontId="0" fillId="7" borderId="20" xfId="0" applyFill="1" applyBorder="1" applyAlignment="1">
      <alignment horizontal="center" vertical="center" wrapText="1"/>
    </xf>
    <xf numFmtId="172" fontId="0" fillId="0" borderId="18" xfId="0" applyNumberFormat="1" applyBorder="1" applyAlignment="1">
      <alignment horizontal="center" vertical="center" wrapText="1"/>
    </xf>
    <xf numFmtId="172" fontId="0" fillId="0" borderId="19" xfId="0" applyNumberFormat="1" applyBorder="1" applyAlignment="1">
      <alignment horizontal="center" vertical="center" wrapText="1"/>
    </xf>
    <xf numFmtId="172" fontId="0" fillId="0" borderId="20" xfId="0" applyNumberFormat="1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6" xfId="0" applyBorder="1" applyAlignment="1">
      <alignment horizontal="center"/>
    </xf>
    <xf numFmtId="172" fontId="0" fillId="0" borderId="33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172" fontId="0" fillId="0" borderId="46" xfId="0" applyNumberFormat="1" applyBorder="1" applyAlignment="1">
      <alignment horizontal="center"/>
    </xf>
    <xf numFmtId="172" fontId="0" fillId="0" borderId="47" xfId="0" applyNumberFormat="1" applyBorder="1" applyAlignment="1">
      <alignment horizontal="center"/>
    </xf>
    <xf numFmtId="172" fontId="0" fillId="0" borderId="49" xfId="0" applyNumberForma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64" fontId="0" fillId="0" borderId="1" xfId="2" applyFont="1" applyBorder="1" applyAlignment="1">
      <alignment wrapText="1"/>
    </xf>
    <xf numFmtId="166" fontId="0" fillId="0" borderId="1" xfId="0" applyNumberFormat="1" applyBorder="1" applyAlignment="1">
      <alignment horizontal="center" vertical="center" wrapText="1"/>
    </xf>
    <xf numFmtId="10" fontId="0" fillId="0" borderId="1" xfId="1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70" fontId="0" fillId="0" borderId="6" xfId="2" applyNumberFormat="1" applyFont="1" applyBorder="1" applyAlignment="1">
      <alignment horizontal="center" vertical="center" wrapText="1"/>
    </xf>
    <xf numFmtId="172" fontId="0" fillId="0" borderId="7" xfId="0" applyNumberFormat="1" applyBorder="1" applyAlignment="1">
      <alignment horizontal="center" vertical="center" wrapText="1"/>
    </xf>
    <xf numFmtId="0" fontId="0" fillId="0" borderId="35" xfId="0" applyBorder="1" applyAlignment="1">
      <alignment horizontal="left" vertical="center" wrapText="1"/>
    </xf>
    <xf numFmtId="0" fontId="0" fillId="2" borderId="35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center" vertical="center" wrapText="1"/>
    </xf>
    <xf numFmtId="170" fontId="0" fillId="2" borderId="1" xfId="2" applyNumberFormat="1" applyFont="1" applyFill="1" applyBorder="1" applyAlignment="1">
      <alignment horizontal="center" vertical="center" wrapText="1"/>
    </xf>
    <xf numFmtId="43" fontId="0" fillId="2" borderId="3" xfId="3" applyFont="1" applyFill="1" applyBorder="1" applyAlignment="1">
      <alignment horizontal="center" vertical="center" wrapText="1"/>
    </xf>
    <xf numFmtId="172" fontId="0" fillId="2" borderId="9" xfId="0" applyNumberFormat="1" applyFill="1" applyBorder="1" applyAlignment="1">
      <alignment horizontal="center" vertical="center" wrapText="1"/>
    </xf>
    <xf numFmtId="0" fontId="0" fillId="0" borderId="37" xfId="0" applyBorder="1" applyAlignment="1">
      <alignment horizontal="left" vertical="center" wrapText="1"/>
    </xf>
    <xf numFmtId="170" fontId="0" fillId="0" borderId="2" xfId="2" applyNumberFormat="1" applyFont="1" applyBorder="1" applyAlignment="1">
      <alignment horizontal="center" vertical="center" wrapText="1"/>
    </xf>
    <xf numFmtId="43" fontId="0" fillId="0" borderId="45" xfId="3" applyFont="1" applyBorder="1" applyAlignment="1">
      <alignment horizontal="center" vertical="center" wrapText="1"/>
    </xf>
    <xf numFmtId="172" fontId="0" fillId="0" borderId="41" xfId="0" applyNumberFormat="1" applyBorder="1" applyAlignment="1">
      <alignment horizontal="center" vertical="center" wrapText="1"/>
    </xf>
    <xf numFmtId="171" fontId="0" fillId="0" borderId="7" xfId="3" applyNumberFormat="1" applyFont="1" applyBorder="1" applyAlignment="1">
      <alignment horizontal="center" vertical="center" wrapText="1"/>
    </xf>
    <xf numFmtId="171" fontId="0" fillId="0" borderId="12" xfId="3" applyNumberFormat="1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7" borderId="50" xfId="0" applyFill="1" applyBorder="1" applyAlignment="1">
      <alignment horizontal="center" vertical="center" wrapText="1"/>
    </xf>
    <xf numFmtId="0" fontId="0" fillId="7" borderId="51" xfId="0" applyFill="1" applyBorder="1" applyAlignment="1">
      <alignment horizontal="center" vertical="center" wrapText="1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33" xfId="0" applyBorder="1" applyAlignment="1">
      <alignment horizontal="center" vertical="center" wrapText="1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8" borderId="50" xfId="0" applyFill="1" applyBorder="1" applyAlignment="1">
      <alignment horizontal="center" vertical="center" wrapText="1"/>
    </xf>
    <xf numFmtId="0" fontId="0" fillId="8" borderId="51" xfId="0" applyFill="1" applyBorder="1" applyAlignment="1">
      <alignment horizontal="center" vertical="center" wrapText="1"/>
    </xf>
    <xf numFmtId="43" fontId="2" fillId="0" borderId="5" xfId="1" applyNumberFormat="1" applyFont="1" applyBorder="1" applyAlignment="1">
      <alignment horizontal="center" vertical="center" wrapText="1"/>
    </xf>
    <xf numFmtId="43" fontId="2" fillId="0" borderId="6" xfId="1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6" borderId="43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/>
    </xf>
    <xf numFmtId="0" fontId="2" fillId="6" borderId="44" xfId="0" applyFont="1" applyFill="1" applyBorder="1" applyAlignment="1">
      <alignment horizontal="center" vertical="center"/>
    </xf>
    <xf numFmtId="0" fontId="2" fillId="11" borderId="15" xfId="0" applyFont="1" applyFill="1" applyBorder="1" applyAlignment="1">
      <alignment horizontal="center" vertical="center" wrapText="1"/>
    </xf>
    <xf numFmtId="0" fontId="2" fillId="12" borderId="43" xfId="0" applyFont="1" applyFill="1" applyBorder="1" applyAlignment="1">
      <alignment horizontal="center" vertical="center" wrapText="1"/>
    </xf>
    <xf numFmtId="0" fontId="2" fillId="12" borderId="15" xfId="0" applyFont="1" applyFill="1" applyBorder="1" applyAlignment="1">
      <alignment horizontal="center" vertical="center" wrapText="1"/>
    </xf>
    <xf numFmtId="0" fontId="2" fillId="12" borderId="44" xfId="0" applyFont="1" applyFill="1" applyBorder="1" applyAlignment="1">
      <alignment horizontal="center" vertical="center" wrapText="1"/>
    </xf>
    <xf numFmtId="0" fontId="2" fillId="13" borderId="15" xfId="0" applyFont="1" applyFill="1" applyBorder="1" applyAlignment="1">
      <alignment horizontal="center" vertical="center" wrapText="1"/>
    </xf>
    <xf numFmtId="0" fontId="2" fillId="10" borderId="43" xfId="0" applyFont="1" applyFill="1" applyBorder="1" applyAlignment="1">
      <alignment horizontal="center" vertical="center" wrapText="1"/>
    </xf>
    <xf numFmtId="0" fontId="2" fillId="10" borderId="15" xfId="0" applyFont="1" applyFill="1" applyBorder="1" applyAlignment="1">
      <alignment horizontal="center" vertical="center" wrapText="1"/>
    </xf>
    <xf numFmtId="0" fontId="2" fillId="10" borderId="44" xfId="0" applyFont="1" applyFill="1" applyBorder="1" applyAlignment="1">
      <alignment horizontal="center" vertical="center" wrapText="1"/>
    </xf>
  </cellXfs>
  <cellStyles count="4">
    <cellStyle name="Moeda" xfId="2" builtinId="4"/>
    <cellStyle name="Normal" xfId="0" builtinId="0"/>
    <cellStyle name="Porcentagem" xfId="1" builtinId="5"/>
    <cellStyle name="Vírgula" xfId="3" builtinId="3"/>
  </cellStyles>
  <dxfs count="0"/>
  <tableStyles count="0" defaultTableStyle="TableStyleMedium9" defaultPivotStyle="PivotStyleLight16"/>
  <colors>
    <mruColors>
      <color rgb="FFFFFF66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Daniel Araujo" id="{CB5EB8AA-7DAA-4EA4-AA25-A3867A4115D3}" userId="a9004d40bada0b66" providerId="Windows Live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3" dT="2020-03-26T20:13:22.33" personId="{CB5EB8AA-7DAA-4EA4-AA25-A3867A4115D3}" id="{B133A32A-1C0A-489D-BD50-D9E942F25EE9}">
    <text>Média das relações entre as lojas onlines e o painel de preços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W70"/>
  <sheetViews>
    <sheetView topLeftCell="N1" zoomScaleNormal="100" workbookViewId="0">
      <selection activeCell="AW2" activeCellId="1" sqref="W15:AW15 W2:AW2"/>
    </sheetView>
  </sheetViews>
  <sheetFormatPr defaultRowHeight="15" x14ac:dyDescent="0.25"/>
  <cols>
    <col min="1" max="1" width="24" style="19" bestFit="1" customWidth="1"/>
    <col min="2" max="2" width="24.85546875" style="1" bestFit="1" customWidth="1"/>
    <col min="3" max="3" width="16" style="2" bestFit="1" customWidth="1"/>
    <col min="4" max="4" width="15.140625" style="2" bestFit="1" customWidth="1"/>
    <col min="5" max="5" width="20.5703125" style="2" bestFit="1" customWidth="1"/>
    <col min="6" max="6" width="11.28515625" style="2" bestFit="1" customWidth="1"/>
    <col min="7" max="7" width="25.5703125" style="4" hidden="1" customWidth="1"/>
    <col min="8" max="8" width="19" style="5" bestFit="1" customWidth="1"/>
    <col min="9" max="9" width="19.42578125" style="2" bestFit="1" customWidth="1"/>
    <col min="10" max="10" width="16.28515625" style="2" bestFit="1" customWidth="1"/>
    <col min="11" max="11" width="19.42578125" style="2" bestFit="1" customWidth="1"/>
    <col min="12" max="12" width="18.5703125" style="2" bestFit="1" customWidth="1"/>
    <col min="13" max="13" width="24.7109375" style="2" bestFit="1" customWidth="1"/>
    <col min="14" max="14" width="20.28515625" style="2" bestFit="1" customWidth="1"/>
    <col min="15" max="15" width="14.7109375" style="2" bestFit="1" customWidth="1"/>
    <col min="16" max="16" width="14.42578125" style="2" bestFit="1" customWidth="1"/>
    <col min="17" max="17" width="11.5703125" style="2" hidden="1" customWidth="1"/>
    <col min="18" max="18" width="12.5703125" style="2" bestFit="1" customWidth="1"/>
    <col min="19" max="19" width="12.5703125" style="21" bestFit="1" customWidth="1"/>
    <col min="20" max="20" width="14.7109375" style="21" bestFit="1" customWidth="1"/>
    <col min="21" max="21" width="16" style="21" bestFit="1" customWidth="1"/>
    <col min="22" max="22" width="16.7109375" style="21" hidden="1" customWidth="1"/>
    <col min="23" max="23" width="12.42578125" style="2" bestFit="1" customWidth="1"/>
    <col min="24" max="24" width="8.5703125" style="2" bestFit="1" customWidth="1"/>
    <col min="25" max="28" width="8.42578125" style="2" bestFit="1" customWidth="1"/>
    <col min="29" max="29" width="8" style="2" bestFit="1" customWidth="1"/>
    <col min="30" max="30" width="7.7109375" style="2" bestFit="1" customWidth="1"/>
    <col min="31" max="32" width="8.42578125" style="2" bestFit="1" customWidth="1"/>
    <col min="33" max="33" width="8.5703125" style="2" bestFit="1" customWidth="1"/>
    <col min="34" max="34" width="7.85546875" style="2" bestFit="1" customWidth="1"/>
    <col min="35" max="36" width="8.42578125" style="2" bestFit="1" customWidth="1"/>
    <col min="37" max="37" width="8.140625" style="2" bestFit="1" customWidth="1"/>
    <col min="38" max="39" width="7.5703125" style="2" bestFit="1" customWidth="1"/>
    <col min="40" max="40" width="8.5703125" style="2" bestFit="1" customWidth="1"/>
    <col min="41" max="41" width="8.42578125" style="2" bestFit="1" customWidth="1"/>
    <col min="42" max="42" width="7.7109375" style="2" bestFit="1" customWidth="1"/>
    <col min="43" max="43" width="7.85546875" style="2" bestFit="1" customWidth="1"/>
    <col min="44" max="45" width="7.7109375" style="2" bestFit="1" customWidth="1"/>
    <col min="46" max="46" width="8.42578125" style="2" bestFit="1" customWidth="1"/>
    <col min="47" max="49" width="8.28515625" style="2" bestFit="1" customWidth="1"/>
    <col min="50" max="16384" width="9.140625" style="2"/>
  </cols>
  <sheetData>
    <row r="1" spans="1:49" ht="15.75" thickBot="1" x14ac:dyDescent="0.3">
      <c r="S1" s="220">
        <v>43914</v>
      </c>
      <c r="T1" s="220">
        <v>43915</v>
      </c>
      <c r="U1" s="220">
        <v>43916</v>
      </c>
      <c r="V1" s="220">
        <v>43915</v>
      </c>
      <c r="W1" s="2" t="s">
        <v>125</v>
      </c>
    </row>
    <row r="2" spans="1:49" ht="30" x14ac:dyDescent="0.25">
      <c r="A2" s="59" t="s">
        <v>0</v>
      </c>
      <c r="B2" s="60" t="s">
        <v>207</v>
      </c>
      <c r="C2" s="46" t="s">
        <v>57</v>
      </c>
      <c r="D2" s="46" t="s">
        <v>58</v>
      </c>
      <c r="E2" s="46" t="s">
        <v>59</v>
      </c>
      <c r="F2" s="70" t="s">
        <v>60</v>
      </c>
      <c r="G2" s="44">
        <f>SUM(C3:C58)</f>
        <v>295642</v>
      </c>
      <c r="H2" s="45" t="s">
        <v>61</v>
      </c>
      <c r="I2" s="46" t="s">
        <v>67</v>
      </c>
      <c r="J2" s="46" t="s">
        <v>63</v>
      </c>
      <c r="K2" s="46" t="s">
        <v>70</v>
      </c>
      <c r="L2" s="46" t="s">
        <v>62</v>
      </c>
      <c r="M2" s="46" t="s">
        <v>71</v>
      </c>
      <c r="N2" s="46" t="s">
        <v>69</v>
      </c>
      <c r="O2" s="46" t="s">
        <v>68</v>
      </c>
      <c r="P2" s="47" t="s">
        <v>66</v>
      </c>
      <c r="Q2" s="133"/>
      <c r="R2" s="101" t="s">
        <v>130</v>
      </c>
      <c r="S2" s="73" t="s">
        <v>64</v>
      </c>
      <c r="T2" s="46" t="s">
        <v>65</v>
      </c>
      <c r="U2" s="70" t="s">
        <v>193</v>
      </c>
      <c r="V2" s="221" t="s">
        <v>72</v>
      </c>
      <c r="W2" s="223" t="s">
        <v>118</v>
      </c>
      <c r="X2" s="128" t="s">
        <v>119</v>
      </c>
      <c r="Y2" s="128" t="s">
        <v>120</v>
      </c>
      <c r="Z2" s="128" t="s">
        <v>121</v>
      </c>
      <c r="AA2" s="128" t="s">
        <v>122</v>
      </c>
      <c r="AB2" s="128" t="s">
        <v>123</v>
      </c>
      <c r="AC2" s="128" t="s">
        <v>124</v>
      </c>
      <c r="AD2" s="125" t="s">
        <v>109</v>
      </c>
      <c r="AE2" s="125" t="s">
        <v>110</v>
      </c>
      <c r="AF2" s="125" t="s">
        <v>111</v>
      </c>
      <c r="AG2" s="125" t="s">
        <v>112</v>
      </c>
      <c r="AH2" s="125" t="s">
        <v>113</v>
      </c>
      <c r="AI2" s="125" t="s">
        <v>114</v>
      </c>
      <c r="AJ2" s="125" t="s">
        <v>115</v>
      </c>
      <c r="AK2" s="125" t="s">
        <v>116</v>
      </c>
      <c r="AL2" s="125" t="s">
        <v>117</v>
      </c>
      <c r="AM2" s="128" t="s">
        <v>105</v>
      </c>
      <c r="AN2" s="128" t="s">
        <v>106</v>
      </c>
      <c r="AO2" s="128" t="s">
        <v>107</v>
      </c>
      <c r="AP2" s="128" t="s">
        <v>108</v>
      </c>
      <c r="AQ2" s="125" t="s">
        <v>102</v>
      </c>
      <c r="AR2" s="125" t="s">
        <v>103</v>
      </c>
      <c r="AS2" s="125" t="s">
        <v>104</v>
      </c>
      <c r="AT2" s="125" t="s">
        <v>98</v>
      </c>
      <c r="AU2" s="125" t="s">
        <v>99</v>
      </c>
      <c r="AV2" s="125" t="s">
        <v>100</v>
      </c>
      <c r="AW2" s="127" t="s">
        <v>101</v>
      </c>
    </row>
    <row r="3" spans="1:49" ht="30" x14ac:dyDescent="0.25">
      <c r="A3" s="61" t="s">
        <v>8</v>
      </c>
      <c r="B3" s="6">
        <v>6379.5</v>
      </c>
      <c r="C3" s="7">
        <v>63770</v>
      </c>
      <c r="D3" s="9">
        <v>2.1095492736712351E-2</v>
      </c>
      <c r="E3" s="10">
        <v>41927.80000000017</v>
      </c>
      <c r="F3" s="38">
        <f t="shared" ref="F3:F34" si="0">E3/C3</f>
        <v>0.65748471067900538</v>
      </c>
      <c r="G3" s="48">
        <f t="shared" ref="G3:G34" si="1">C3/$G$2</f>
        <v>0.21570006967886837</v>
      </c>
      <c r="H3" s="13">
        <f t="shared" ref="H3:H34" si="2">ROUNDUP((G3*100),0)</f>
        <v>22</v>
      </c>
      <c r="I3" s="14">
        <f t="shared" ref="I3:I34" si="3">H3*F3</f>
        <v>14.464663634938118</v>
      </c>
      <c r="J3" s="15">
        <v>0.45263157894736844</v>
      </c>
      <c r="K3" s="15">
        <f t="shared" ref="K3:K40" si="4">J3*H3</f>
        <v>9.9578947368421051</v>
      </c>
      <c r="L3" s="15">
        <v>0.98947368421052628</v>
      </c>
      <c r="M3" s="15">
        <f t="shared" ref="M3:M40" si="5">L3*H3</f>
        <v>21.768421052631577</v>
      </c>
      <c r="N3" s="16">
        <f t="shared" ref="N3:N26" si="6">L3/J3</f>
        <v>2.1860465116279069</v>
      </c>
      <c r="O3" s="15">
        <f>AVERAGE(J3,L3)</f>
        <v>0.72105263157894739</v>
      </c>
      <c r="P3" s="102">
        <f t="shared" ref="P3:P40" si="7">O3*H3</f>
        <v>15.863157894736842</v>
      </c>
      <c r="Q3" s="134">
        <f>P3/0.95</f>
        <v>16.698060941828256</v>
      </c>
      <c r="R3" s="131">
        <f>K3</f>
        <v>9.9578947368421051</v>
      </c>
      <c r="S3" s="122">
        <f>3.6*11</f>
        <v>39.6</v>
      </c>
      <c r="T3" s="142">
        <f>4.3*5.5</f>
        <v>23.65</v>
      </c>
      <c r="U3" s="219">
        <f>0.99*22</f>
        <v>21.78</v>
      </c>
      <c r="V3" s="216">
        <f>0.55*22</f>
        <v>12.100000000000001</v>
      </c>
      <c r="W3" s="224" t="s">
        <v>126</v>
      </c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62"/>
    </row>
    <row r="4" spans="1:49" x14ac:dyDescent="0.25">
      <c r="A4" s="61" t="s">
        <v>42</v>
      </c>
      <c r="B4" s="6">
        <v>5778.9</v>
      </c>
      <c r="C4" s="7">
        <v>57709</v>
      </c>
      <c r="D4" s="9">
        <v>0.54397844475232471</v>
      </c>
      <c r="E4" s="10">
        <v>1080103.0800000019</v>
      </c>
      <c r="F4" s="38">
        <f t="shared" si="0"/>
        <v>18.716371449860542</v>
      </c>
      <c r="G4" s="48">
        <f t="shared" si="1"/>
        <v>0.19519892302176281</v>
      </c>
      <c r="H4" s="13">
        <f t="shared" si="2"/>
        <v>20</v>
      </c>
      <c r="I4" s="14">
        <f t="shared" si="3"/>
        <v>374.32742899721086</v>
      </c>
      <c r="J4" s="15">
        <v>14.663157894736843</v>
      </c>
      <c r="K4" s="15">
        <f t="shared" si="4"/>
        <v>293.26315789473688</v>
      </c>
      <c r="L4" s="15">
        <v>25.147368421052633</v>
      </c>
      <c r="M4" s="15">
        <f t="shared" si="5"/>
        <v>502.94736842105266</v>
      </c>
      <c r="N4" s="16">
        <f t="shared" si="6"/>
        <v>1.7150035893754487</v>
      </c>
      <c r="O4" s="15">
        <f t="shared" ref="O4:O26" si="8">AVERAGE(J4,L4)</f>
        <v>19.905263157894737</v>
      </c>
      <c r="P4" s="102">
        <f t="shared" si="7"/>
        <v>398.10526315789474</v>
      </c>
      <c r="Q4" s="134"/>
      <c r="R4" s="131">
        <f t="shared" ref="R4:R58" si="9">K4</f>
        <v>293.26315789473688</v>
      </c>
      <c r="S4" s="122">
        <f>20*20.9</f>
        <v>418</v>
      </c>
      <c r="T4" s="142">
        <f>20*16.68</f>
        <v>333.6</v>
      </c>
      <c r="U4" s="219">
        <f>16.9*20</f>
        <v>338</v>
      </c>
      <c r="V4" s="216">
        <f>20.9*20</f>
        <v>418</v>
      </c>
      <c r="W4" s="224">
        <v>563.57000000000005</v>
      </c>
      <c r="X4" s="126">
        <v>458.35</v>
      </c>
      <c r="Y4" s="7">
        <v>458.35</v>
      </c>
      <c r="Z4" s="7">
        <v>694.04</v>
      </c>
      <c r="AA4" s="7">
        <v>281.86</v>
      </c>
      <c r="AB4" s="7">
        <v>563.57000000000005</v>
      </c>
      <c r="AC4" s="7">
        <v>614.34</v>
      </c>
      <c r="AD4" s="126">
        <v>281.86</v>
      </c>
      <c r="AE4" s="7">
        <v>203.41</v>
      </c>
      <c r="AF4" s="7">
        <v>230.27</v>
      </c>
      <c r="AG4" s="126">
        <v>281.86</v>
      </c>
      <c r="AH4" s="7">
        <v>281.86</v>
      </c>
      <c r="AI4" s="7">
        <v>230.27</v>
      </c>
      <c r="AJ4" s="7">
        <v>665.91</v>
      </c>
      <c r="AK4" s="7">
        <v>281.86</v>
      </c>
      <c r="AL4" s="126">
        <v>281.86</v>
      </c>
      <c r="AM4" s="126">
        <v>281.86</v>
      </c>
      <c r="AN4" s="7">
        <v>60.29</v>
      </c>
      <c r="AO4" s="7">
        <v>0</v>
      </c>
      <c r="AP4" s="7">
        <v>0</v>
      </c>
      <c r="AQ4" s="126">
        <v>126.52</v>
      </c>
      <c r="AR4" s="7">
        <v>122.45</v>
      </c>
      <c r="AS4" s="7">
        <v>116.22</v>
      </c>
      <c r="AT4" s="7">
        <v>97.07</v>
      </c>
      <c r="AU4" s="7">
        <v>125.77</v>
      </c>
      <c r="AV4" s="7">
        <v>97.53</v>
      </c>
      <c r="AW4" s="62">
        <v>203.41</v>
      </c>
    </row>
    <row r="5" spans="1:49" x14ac:dyDescent="0.25">
      <c r="A5" s="61" t="s">
        <v>11</v>
      </c>
      <c r="B5" s="6">
        <v>1938.7</v>
      </c>
      <c r="C5" s="7">
        <v>19357</v>
      </c>
      <c r="D5" s="9">
        <v>1.019852321165339E-2</v>
      </c>
      <c r="E5" s="10">
        <v>20245.150000000009</v>
      </c>
      <c r="F5" s="38">
        <f t="shared" si="0"/>
        <v>1.045882626440048</v>
      </c>
      <c r="G5" s="48">
        <f t="shared" si="1"/>
        <v>6.5474458974029398E-2</v>
      </c>
      <c r="H5" s="13">
        <f t="shared" si="2"/>
        <v>7</v>
      </c>
      <c r="I5" s="14">
        <f t="shared" si="3"/>
        <v>7.3211783850803362</v>
      </c>
      <c r="J5" s="15">
        <v>0.83157894736842108</v>
      </c>
      <c r="K5" s="15">
        <f t="shared" si="4"/>
        <v>5.8210526315789473</v>
      </c>
      <c r="L5" s="15">
        <v>2.8105263157894735</v>
      </c>
      <c r="M5" s="15">
        <f t="shared" si="5"/>
        <v>19.673684210526314</v>
      </c>
      <c r="N5" s="16">
        <f t="shared" si="6"/>
        <v>3.3797468354430378</v>
      </c>
      <c r="O5" s="15">
        <f t="shared" si="8"/>
        <v>1.8210526315789473</v>
      </c>
      <c r="P5" s="102">
        <f t="shared" si="7"/>
        <v>12.747368421052631</v>
      </c>
      <c r="Q5" s="135">
        <v>109768</v>
      </c>
      <c r="R5" s="131">
        <f t="shared" si="9"/>
        <v>5.8210526315789473</v>
      </c>
      <c r="S5" s="122">
        <f>1.99*7</f>
        <v>13.93</v>
      </c>
      <c r="T5" s="142">
        <f>1.72*7</f>
        <v>12.04</v>
      </c>
      <c r="U5" s="219">
        <f>2.19*7</f>
        <v>15.33</v>
      </c>
      <c r="V5" s="216">
        <f>1.04*7</f>
        <v>7.28</v>
      </c>
      <c r="W5" s="141">
        <f>W4*W15</f>
        <v>3.9635963122221414</v>
      </c>
      <c r="X5" s="222">
        <f>X4*X15</f>
        <v>11.148918628379857</v>
      </c>
      <c r="Y5" s="222">
        <f t="shared" ref="Y5:AW5" si="10">Y4*Y15</f>
        <v>30.444481542890465</v>
      </c>
      <c r="Z5" s="222">
        <f t="shared" si="10"/>
        <v>41.319431892719187</v>
      </c>
      <c r="AA5" s="222">
        <f t="shared" si="10"/>
        <v>23.056090481743315</v>
      </c>
      <c r="AB5" s="222">
        <f t="shared" si="10"/>
        <v>22.118099628306975</v>
      </c>
      <c r="AC5" s="222">
        <f t="shared" si="10"/>
        <v>5.9549027038845566</v>
      </c>
      <c r="AD5" s="222">
        <f t="shared" si="10"/>
        <v>4.1001105181359936</v>
      </c>
      <c r="AE5" s="222">
        <f t="shared" si="10"/>
        <v>11.889237474200099</v>
      </c>
      <c r="AF5" s="222">
        <f t="shared" si="10"/>
        <v>12.71693147711107</v>
      </c>
      <c r="AG5" s="222">
        <f t="shared" si="10"/>
        <v>8.2303518654046997</v>
      </c>
      <c r="AH5" s="222">
        <f t="shared" si="10"/>
        <v>6.853604749648464</v>
      </c>
      <c r="AI5" s="222">
        <f t="shared" si="10"/>
        <v>12.49538874589874</v>
      </c>
      <c r="AJ5" s="222">
        <f t="shared" si="10"/>
        <v>11.537570163392511</v>
      </c>
      <c r="AK5" s="222">
        <f t="shared" si="10"/>
        <v>6.7122216283334293</v>
      </c>
      <c r="AL5" s="222">
        <f t="shared" si="10"/>
        <v>3.0478492545781974</v>
      </c>
      <c r="AM5" s="222">
        <f t="shared" si="10"/>
        <v>7.0254442096057144</v>
      </c>
      <c r="AN5" s="222">
        <f t="shared" si="10"/>
        <v>5.2189670942351141</v>
      </c>
      <c r="AO5" s="222">
        <f t="shared" si="10"/>
        <v>0</v>
      </c>
      <c r="AP5" s="222">
        <f t="shared" si="10"/>
        <v>0</v>
      </c>
      <c r="AQ5" s="222">
        <f t="shared" si="10"/>
        <v>5.6763325082847489</v>
      </c>
      <c r="AR5" s="222">
        <f t="shared" si="10"/>
        <v>6.7815766102837785</v>
      </c>
      <c r="AS5" s="222">
        <f t="shared" si="10"/>
        <v>4.0597534721936697</v>
      </c>
      <c r="AT5" s="222">
        <f t="shared" si="10"/>
        <v>49.245809520676914</v>
      </c>
      <c r="AU5" s="222">
        <f t="shared" si="10"/>
        <v>4.1823703837709383</v>
      </c>
      <c r="AV5" s="222">
        <f t="shared" si="10"/>
        <v>2.0924090322262332</v>
      </c>
      <c r="AW5" s="225">
        <f t="shared" si="10"/>
        <v>3.0174710753315956</v>
      </c>
    </row>
    <row r="6" spans="1:49" x14ac:dyDescent="0.25">
      <c r="A6" s="61" t="s">
        <v>22</v>
      </c>
      <c r="B6" s="6">
        <v>1605</v>
      </c>
      <c r="C6" s="7">
        <v>16050</v>
      </c>
      <c r="D6" s="9">
        <v>2.1110329220057331E-2</v>
      </c>
      <c r="E6" s="10">
        <v>41974.549999999988</v>
      </c>
      <c r="F6" s="38">
        <f t="shared" si="0"/>
        <v>2.6152367601246098</v>
      </c>
      <c r="G6" s="48">
        <f t="shared" si="1"/>
        <v>5.4288632873542998E-2</v>
      </c>
      <c r="H6" s="13">
        <f t="shared" si="2"/>
        <v>6</v>
      </c>
      <c r="I6" s="14">
        <f t="shared" si="3"/>
        <v>15.691420560747659</v>
      </c>
      <c r="J6" s="15">
        <v>2.6000000000000005</v>
      </c>
      <c r="K6" s="15">
        <f t="shared" si="4"/>
        <v>15.600000000000003</v>
      </c>
      <c r="L6" s="15">
        <v>4.3473684210526313</v>
      </c>
      <c r="M6" s="15">
        <f t="shared" si="5"/>
        <v>26.084210526315786</v>
      </c>
      <c r="N6" s="16">
        <f t="shared" si="6"/>
        <v>1.6720647773279347</v>
      </c>
      <c r="O6" s="15">
        <f t="shared" si="8"/>
        <v>3.4736842105263159</v>
      </c>
      <c r="P6" s="102">
        <f t="shared" si="7"/>
        <v>20.842105263157897</v>
      </c>
      <c r="Q6" s="134"/>
      <c r="R6" s="131">
        <f t="shared" si="9"/>
        <v>15.600000000000003</v>
      </c>
      <c r="S6" s="122">
        <f>H6*5.3</f>
        <v>31.799999999999997</v>
      </c>
      <c r="T6" s="142">
        <f>5.5*6</f>
        <v>33</v>
      </c>
      <c r="U6" s="219">
        <f>4.02*6</f>
        <v>24.119999999999997</v>
      </c>
      <c r="V6" s="216">
        <f>5.09*6</f>
        <v>30.54</v>
      </c>
      <c r="W6" s="224" t="s">
        <v>127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62"/>
    </row>
    <row r="7" spans="1:49" x14ac:dyDescent="0.25">
      <c r="A7" s="61" t="s">
        <v>5</v>
      </c>
      <c r="B7" s="6">
        <v>1515.1</v>
      </c>
      <c r="C7" s="7">
        <v>15143</v>
      </c>
      <c r="D7" s="9">
        <v>1.2513663395298E-2</v>
      </c>
      <c r="E7" s="10">
        <v>24868.72000000011</v>
      </c>
      <c r="F7" s="38">
        <f t="shared" si="0"/>
        <v>1.6422584692597313</v>
      </c>
      <c r="G7" s="48">
        <f t="shared" si="1"/>
        <v>5.1220733184053686E-2</v>
      </c>
      <c r="H7" s="13">
        <f t="shared" si="2"/>
        <v>6</v>
      </c>
      <c r="I7" s="14">
        <f t="shared" si="3"/>
        <v>9.8535508155583873</v>
      </c>
      <c r="J7" s="15">
        <v>2.1894736842105265</v>
      </c>
      <c r="K7" s="15">
        <f t="shared" si="4"/>
        <v>13.13684210526316</v>
      </c>
      <c r="L7" s="15">
        <v>6.957894736842106</v>
      </c>
      <c r="M7" s="15">
        <f t="shared" si="5"/>
        <v>41.747368421052634</v>
      </c>
      <c r="N7" s="16">
        <f t="shared" si="6"/>
        <v>3.1778846153846154</v>
      </c>
      <c r="O7" s="15">
        <f t="shared" si="8"/>
        <v>4.5736842105263165</v>
      </c>
      <c r="P7" s="102">
        <f t="shared" si="7"/>
        <v>27.442105263157899</v>
      </c>
      <c r="Q7" s="134"/>
      <c r="R7" s="131">
        <f t="shared" si="9"/>
        <v>13.13684210526316</v>
      </c>
      <c r="S7" s="122">
        <f>5.6*6</f>
        <v>33.599999999999994</v>
      </c>
      <c r="T7" s="142">
        <f>6*3.3</f>
        <v>19.799999999999997</v>
      </c>
      <c r="U7" s="219">
        <f>2.19*6</f>
        <v>13.14</v>
      </c>
      <c r="V7" s="216">
        <f>3.12*6</f>
        <v>18.72</v>
      </c>
      <c r="W7" s="224">
        <v>51.28</v>
      </c>
      <c r="X7" s="7">
        <v>51.28</v>
      </c>
      <c r="Y7" s="7">
        <v>51.28</v>
      </c>
      <c r="Z7" s="7">
        <v>51.28</v>
      </c>
      <c r="AA7" s="7">
        <v>51.28</v>
      </c>
      <c r="AB7" s="7">
        <v>51.28</v>
      </c>
      <c r="AC7" s="7">
        <v>51.28</v>
      </c>
      <c r="AD7" s="7">
        <v>51.28</v>
      </c>
      <c r="AE7" s="7">
        <v>51.28</v>
      </c>
      <c r="AF7" s="7">
        <v>51.28</v>
      </c>
      <c r="AG7" s="7">
        <v>51.28</v>
      </c>
      <c r="AH7" s="7">
        <v>51.28</v>
      </c>
      <c r="AI7" s="7">
        <v>51.28</v>
      </c>
      <c r="AJ7" s="7">
        <v>51.28</v>
      </c>
      <c r="AK7" s="7">
        <v>51.28</v>
      </c>
      <c r="AL7" s="7">
        <v>51.28</v>
      </c>
      <c r="AM7" s="7">
        <v>51.28</v>
      </c>
      <c r="AN7" s="7">
        <v>0</v>
      </c>
      <c r="AO7" s="7">
        <v>51.28</v>
      </c>
      <c r="AP7" s="7">
        <v>51.28</v>
      </c>
      <c r="AQ7" s="7">
        <v>51.28</v>
      </c>
      <c r="AR7" s="7">
        <v>51.28</v>
      </c>
      <c r="AS7" s="7">
        <v>51.28</v>
      </c>
      <c r="AT7" s="7">
        <v>0</v>
      </c>
      <c r="AU7" s="7">
        <v>51.28</v>
      </c>
      <c r="AV7" s="7">
        <v>51.28</v>
      </c>
      <c r="AW7" s="62">
        <v>51.28</v>
      </c>
    </row>
    <row r="8" spans="1:49" ht="30" x14ac:dyDescent="0.25">
      <c r="A8" s="61" t="s">
        <v>27</v>
      </c>
      <c r="B8" s="6">
        <v>927.3</v>
      </c>
      <c r="C8" s="7">
        <v>9268</v>
      </c>
      <c r="D8" s="9">
        <v>1.21492341004956E-2</v>
      </c>
      <c r="E8" s="10">
        <v>24143.579999999991</v>
      </c>
      <c r="F8" s="38">
        <f t="shared" si="0"/>
        <v>2.6050474751834258</v>
      </c>
      <c r="G8" s="48">
        <f t="shared" si="1"/>
        <v>3.1348725823800404E-2</v>
      </c>
      <c r="H8" s="13">
        <f t="shared" si="2"/>
        <v>4</v>
      </c>
      <c r="I8" s="14">
        <f t="shared" si="3"/>
        <v>10.420189900733703</v>
      </c>
      <c r="J8" s="15">
        <v>2.6105263157894738</v>
      </c>
      <c r="K8" s="15">
        <f t="shared" si="4"/>
        <v>10.442105263157895</v>
      </c>
      <c r="L8" s="15">
        <v>4.147368421052632</v>
      </c>
      <c r="M8" s="15">
        <f t="shared" si="5"/>
        <v>16.589473684210528</v>
      </c>
      <c r="N8" s="16">
        <f t="shared" si="6"/>
        <v>1.588709677419355</v>
      </c>
      <c r="O8" s="15">
        <f t="shared" si="8"/>
        <v>3.3789473684210529</v>
      </c>
      <c r="P8" s="102">
        <f t="shared" si="7"/>
        <v>13.515789473684212</v>
      </c>
      <c r="Q8" s="134"/>
      <c r="R8" s="131">
        <f t="shared" si="9"/>
        <v>10.442105263157895</v>
      </c>
      <c r="S8" s="122">
        <f>4*4.8</f>
        <v>19.2</v>
      </c>
      <c r="T8" s="142">
        <f>4*3.25</f>
        <v>13</v>
      </c>
      <c r="U8" s="219">
        <f>2.75*4</f>
        <v>11</v>
      </c>
      <c r="V8" s="216">
        <f>2.55*4</f>
        <v>10.199999999999999</v>
      </c>
      <c r="W8" s="141">
        <f>W7*W15</f>
        <v>0.36065301362874425</v>
      </c>
      <c r="X8" s="222">
        <f t="shared" ref="X8:AW8" si="11">X7*X15</f>
        <v>1.2473361999854238</v>
      </c>
      <c r="Y8" s="222">
        <f t="shared" si="11"/>
        <v>3.4061154434807963</v>
      </c>
      <c r="Z8" s="222">
        <f t="shared" si="11"/>
        <v>3.0529371037096422</v>
      </c>
      <c r="AA8" s="222">
        <f t="shared" si="11"/>
        <v>4.1946935354566</v>
      </c>
      <c r="AB8" s="222">
        <f t="shared" si="11"/>
        <v>2.0125559361562568</v>
      </c>
      <c r="AC8" s="222">
        <f t="shared" si="11"/>
        <v>0.49706581152977186</v>
      </c>
      <c r="AD8" s="222">
        <f t="shared" si="11"/>
        <v>0.74595071088488518</v>
      </c>
      <c r="AE8" s="222">
        <f t="shared" si="11"/>
        <v>2.9972965816674755</v>
      </c>
      <c r="AF8" s="222">
        <f t="shared" si="11"/>
        <v>2.8319982896002767</v>
      </c>
      <c r="AG8" s="222">
        <f t="shared" si="11"/>
        <v>1.4973832528842439</v>
      </c>
      <c r="AH8" s="222">
        <f t="shared" si="11"/>
        <v>1.2469057388844578</v>
      </c>
      <c r="AI8" s="222">
        <f t="shared" si="11"/>
        <v>2.7826618095700155</v>
      </c>
      <c r="AJ8" s="222">
        <f t="shared" si="11"/>
        <v>0.88847831986119441</v>
      </c>
      <c r="AK8" s="222">
        <f t="shared" si="11"/>
        <v>1.2211833005780823</v>
      </c>
      <c r="AL8" s="222">
        <f t="shared" si="11"/>
        <v>0.55450830119481287</v>
      </c>
      <c r="AM8" s="222">
        <f t="shared" si="11"/>
        <v>1.278169229647985</v>
      </c>
      <c r="AN8" s="222">
        <f t="shared" si="11"/>
        <v>0</v>
      </c>
      <c r="AO8" s="222">
        <f t="shared" si="11"/>
        <v>21.060827927993589</v>
      </c>
      <c r="AP8" s="222">
        <f t="shared" si="11"/>
        <v>9.730623861234605</v>
      </c>
      <c r="AQ8" s="222">
        <f t="shared" si="11"/>
        <v>2.3006823508128509</v>
      </c>
      <c r="AR8" s="222">
        <f t="shared" si="11"/>
        <v>2.8400101966137377</v>
      </c>
      <c r="AS8" s="222">
        <f t="shared" si="11"/>
        <v>1.7912937364833195</v>
      </c>
      <c r="AT8" s="222">
        <f t="shared" si="11"/>
        <v>0</v>
      </c>
      <c r="AU8" s="222">
        <f t="shared" si="11"/>
        <v>1.7052711559177365</v>
      </c>
      <c r="AV8" s="222">
        <f t="shared" si="11"/>
        <v>1.1001613367431686</v>
      </c>
      <c r="AW8" s="225">
        <f t="shared" si="11"/>
        <v>0.76070948696231366</v>
      </c>
    </row>
    <row r="9" spans="1:49" x14ac:dyDescent="0.25">
      <c r="A9" s="61" t="s">
        <v>48</v>
      </c>
      <c r="B9" s="6">
        <v>891.9</v>
      </c>
      <c r="C9" s="7">
        <v>8884</v>
      </c>
      <c r="D9" s="9">
        <v>1.380305941362836E-2</v>
      </c>
      <c r="E9" s="10">
        <v>27332.84999999986</v>
      </c>
      <c r="F9" s="38">
        <f t="shared" si="0"/>
        <v>3.0766377757766614</v>
      </c>
      <c r="G9" s="48">
        <f t="shared" si="1"/>
        <v>3.0049857598040873E-2</v>
      </c>
      <c r="H9" s="13">
        <f t="shared" si="2"/>
        <v>4</v>
      </c>
      <c r="I9" s="14">
        <f t="shared" si="3"/>
        <v>12.306551103106646</v>
      </c>
      <c r="J9" s="15">
        <v>10.768421052631579</v>
      </c>
      <c r="K9" s="15">
        <f t="shared" si="4"/>
        <v>43.073684210526316</v>
      </c>
      <c r="L9" s="15">
        <v>16.652631578947368</v>
      </c>
      <c r="M9" s="15">
        <f t="shared" si="5"/>
        <v>66.610526315789471</v>
      </c>
      <c r="N9" s="16">
        <f t="shared" si="6"/>
        <v>1.5464320625610948</v>
      </c>
      <c r="O9" s="15">
        <f t="shared" si="8"/>
        <v>13.710526315789473</v>
      </c>
      <c r="P9" s="102">
        <f t="shared" si="7"/>
        <v>54.84210526315789</v>
      </c>
      <c r="Q9" s="136">
        <v>121609</v>
      </c>
      <c r="R9" s="131">
        <f t="shared" si="9"/>
        <v>43.073684210526316</v>
      </c>
      <c r="S9" s="122">
        <f>13.1*4</f>
        <v>52.4</v>
      </c>
      <c r="T9" s="142">
        <f>4*4.69</f>
        <v>18.760000000000002</v>
      </c>
      <c r="U9" s="219">
        <f>3.81*4</f>
        <v>15.24</v>
      </c>
      <c r="V9" s="216">
        <f>3.27*4</f>
        <v>13.08</v>
      </c>
      <c r="W9" s="224" t="s">
        <v>199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62"/>
    </row>
    <row r="10" spans="1:49" x14ac:dyDescent="0.25">
      <c r="A10" s="61" t="s">
        <v>47</v>
      </c>
      <c r="B10" s="6">
        <v>822.4</v>
      </c>
      <c r="C10" s="7">
        <v>8119</v>
      </c>
      <c r="D10" s="9">
        <v>1.37442968809492E-2</v>
      </c>
      <c r="E10" s="10">
        <v>26969.260000000009</v>
      </c>
      <c r="F10" s="38">
        <f t="shared" si="0"/>
        <v>3.3217465205074528</v>
      </c>
      <c r="G10" s="48">
        <f t="shared" si="1"/>
        <v>2.7462268554535554E-2</v>
      </c>
      <c r="H10" s="13">
        <f t="shared" si="2"/>
        <v>3</v>
      </c>
      <c r="I10" s="14">
        <f t="shared" si="3"/>
        <v>9.9652395615223579</v>
      </c>
      <c r="J10" s="15">
        <v>12.715789473684211</v>
      </c>
      <c r="K10" s="15">
        <f t="shared" si="4"/>
        <v>38.147368421052633</v>
      </c>
      <c r="L10" s="15">
        <v>16.621052631578948</v>
      </c>
      <c r="M10" s="15">
        <f t="shared" si="5"/>
        <v>49.863157894736844</v>
      </c>
      <c r="N10" s="16">
        <f t="shared" si="6"/>
        <v>1.3071192052980132</v>
      </c>
      <c r="O10" s="15">
        <f t="shared" si="8"/>
        <v>14.668421052631579</v>
      </c>
      <c r="P10" s="102">
        <f t="shared" si="7"/>
        <v>44.005263157894738</v>
      </c>
      <c r="Q10" s="134"/>
      <c r="R10" s="131">
        <f t="shared" si="9"/>
        <v>38.147368421052633</v>
      </c>
      <c r="S10" s="122">
        <f>11.9*3</f>
        <v>35.700000000000003</v>
      </c>
      <c r="T10" s="142">
        <f>3*3.99</f>
        <v>11.97</v>
      </c>
      <c r="U10" s="219">
        <f>4.66*3</f>
        <v>13.98</v>
      </c>
      <c r="V10" s="216">
        <f>3*3.6</f>
        <v>10.8</v>
      </c>
      <c r="W10" s="224">
        <v>74.7</v>
      </c>
      <c r="X10" s="7">
        <v>74.7</v>
      </c>
      <c r="Y10" s="7">
        <v>74.7</v>
      </c>
      <c r="Z10" s="7">
        <v>74.7</v>
      </c>
      <c r="AA10" s="7">
        <v>74.7</v>
      </c>
      <c r="AB10" s="7">
        <v>74.7</v>
      </c>
      <c r="AC10" s="7">
        <v>74.7</v>
      </c>
      <c r="AD10" s="7">
        <v>68.099999999999994</v>
      </c>
      <c r="AE10" s="7">
        <v>68.099999999999994</v>
      </c>
      <c r="AF10" s="7">
        <v>68.099999999999994</v>
      </c>
      <c r="AG10" s="7">
        <v>68.099999999999994</v>
      </c>
      <c r="AH10" s="7">
        <v>68.099999999999994</v>
      </c>
      <c r="AI10" s="7">
        <v>68.099999999999994</v>
      </c>
      <c r="AJ10" s="7">
        <v>68.099999999999994</v>
      </c>
      <c r="AK10" s="7">
        <v>68.099999999999994</v>
      </c>
      <c r="AL10" s="7">
        <v>68.099999999999994</v>
      </c>
      <c r="AM10" s="7">
        <v>51.41</v>
      </c>
      <c r="AN10" s="7">
        <v>50.95</v>
      </c>
      <c r="AO10" s="7">
        <v>50.43</v>
      </c>
      <c r="AP10" s="7">
        <v>49.91</v>
      </c>
      <c r="AQ10" s="7">
        <v>49.97</v>
      </c>
      <c r="AR10" s="7">
        <v>50.95</v>
      </c>
      <c r="AS10" s="7">
        <v>50.43</v>
      </c>
      <c r="AT10" s="7">
        <v>50.95</v>
      </c>
      <c r="AU10" s="7">
        <v>50.95</v>
      </c>
      <c r="AV10" s="7">
        <v>53.36</v>
      </c>
      <c r="AW10" s="62">
        <v>53.36</v>
      </c>
    </row>
    <row r="11" spans="1:49" x14ac:dyDescent="0.25">
      <c r="A11" s="61" t="s">
        <v>17</v>
      </c>
      <c r="B11" s="6">
        <v>716.3</v>
      </c>
      <c r="C11" s="7">
        <v>7153</v>
      </c>
      <c r="D11" s="9">
        <v>4.9596251509676486E-3</v>
      </c>
      <c r="E11" s="10">
        <v>9846.5299999999588</v>
      </c>
      <c r="F11" s="38">
        <f t="shared" si="0"/>
        <v>1.376559485530541</v>
      </c>
      <c r="G11" s="48">
        <f t="shared" si="1"/>
        <v>2.4194803174109228E-2</v>
      </c>
      <c r="H11" s="13">
        <f t="shared" si="2"/>
        <v>3</v>
      </c>
      <c r="I11" s="14">
        <f t="shared" si="3"/>
        <v>4.1296784565916234</v>
      </c>
      <c r="J11" s="15">
        <v>1.0526315789473684</v>
      </c>
      <c r="K11" s="15">
        <f t="shared" si="4"/>
        <v>3.1578947368421053</v>
      </c>
      <c r="L11" s="15">
        <v>2.831578947368421</v>
      </c>
      <c r="M11" s="15">
        <f t="shared" si="5"/>
        <v>8.4947368421052634</v>
      </c>
      <c r="N11" s="16">
        <f t="shared" si="6"/>
        <v>2.69</v>
      </c>
      <c r="O11" s="15">
        <f t="shared" si="8"/>
        <v>1.9421052631578948</v>
      </c>
      <c r="P11" s="102">
        <f t="shared" si="7"/>
        <v>5.8263157894736839</v>
      </c>
      <c r="Q11" s="134"/>
      <c r="R11" s="131">
        <f t="shared" si="9"/>
        <v>3.1578947368421053</v>
      </c>
      <c r="S11" s="122">
        <f>3.9*3</f>
        <v>11.7</v>
      </c>
      <c r="T11" s="142">
        <f>3*2.69</f>
        <v>8.07</v>
      </c>
      <c r="U11" s="219">
        <f>3.59*3</f>
        <v>10.77</v>
      </c>
      <c r="V11" s="216">
        <f>1.49*3</f>
        <v>4.47</v>
      </c>
      <c r="W11" s="141">
        <f>W10*W15</f>
        <v>0.52536622695138835</v>
      </c>
      <c r="X11" s="222">
        <f t="shared" ref="X11:AW11" si="12">X10*X15</f>
        <v>1.8170049559070038</v>
      </c>
      <c r="Y11" s="222">
        <f t="shared" si="12"/>
        <v>4.9617165294074779</v>
      </c>
      <c r="Z11" s="222">
        <f t="shared" si="12"/>
        <v>4.4472387216675173</v>
      </c>
      <c r="AA11" s="222">
        <f t="shared" si="12"/>
        <v>6.1104447562131048</v>
      </c>
      <c r="AB11" s="222">
        <f t="shared" si="12"/>
        <v>2.9317068726769184</v>
      </c>
      <c r="AC11" s="222">
        <f t="shared" si="12"/>
        <v>0.72407987755994463</v>
      </c>
      <c r="AD11" s="222">
        <f t="shared" si="12"/>
        <v>0.99062487151444378</v>
      </c>
      <c r="AE11" s="222">
        <f t="shared" si="12"/>
        <v>3.9804192123938194</v>
      </c>
      <c r="AF11" s="222">
        <f t="shared" si="12"/>
        <v>3.760902564777278</v>
      </c>
      <c r="AG11" s="222">
        <f t="shared" si="12"/>
        <v>1.9885296318529055</v>
      </c>
      <c r="AH11" s="222">
        <f t="shared" si="12"/>
        <v>1.6558947117400851</v>
      </c>
      <c r="AI11" s="222">
        <f t="shared" si="12"/>
        <v>3.6953835653611158</v>
      </c>
      <c r="AJ11" s="222">
        <f t="shared" si="12"/>
        <v>1.1799019809389106</v>
      </c>
      <c r="AK11" s="222">
        <f t="shared" si="12"/>
        <v>1.6217352334120005</v>
      </c>
      <c r="AL11" s="222">
        <f t="shared" si="12"/>
        <v>0.73638875412181659</v>
      </c>
      <c r="AM11" s="222">
        <f t="shared" si="12"/>
        <v>1.2814095182566867</v>
      </c>
      <c r="AN11" s="222">
        <f t="shared" si="12"/>
        <v>4.4104556883609076</v>
      </c>
      <c r="AO11" s="222">
        <f t="shared" si="12"/>
        <v>20.711730741199624</v>
      </c>
      <c r="AP11" s="222">
        <f t="shared" si="12"/>
        <v>9.4706598462211211</v>
      </c>
      <c r="AQ11" s="222">
        <f t="shared" si="12"/>
        <v>2.2419090692300734</v>
      </c>
      <c r="AR11" s="222">
        <f t="shared" si="12"/>
        <v>2.8217339999506619</v>
      </c>
      <c r="AS11" s="222">
        <f t="shared" si="12"/>
        <v>1.7616018551258541</v>
      </c>
      <c r="AT11" s="222">
        <f t="shared" si="12"/>
        <v>25.848088957231784</v>
      </c>
      <c r="AU11" s="222">
        <f t="shared" si="12"/>
        <v>1.6942972970750523</v>
      </c>
      <c r="AV11" s="222">
        <f t="shared" si="12"/>
        <v>1.1447856655346231</v>
      </c>
      <c r="AW11" s="225">
        <f t="shared" si="12"/>
        <v>0.79156509797794572</v>
      </c>
    </row>
    <row r="12" spans="1:49" x14ac:dyDescent="0.25">
      <c r="A12" s="61" t="s">
        <v>33</v>
      </c>
      <c r="B12" s="6">
        <v>698.7</v>
      </c>
      <c r="C12" s="7">
        <v>6937</v>
      </c>
      <c r="D12" s="9">
        <v>7.027966720812523E-4</v>
      </c>
      <c r="E12" s="10">
        <v>1387.4</v>
      </c>
      <c r="F12" s="38">
        <f t="shared" si="0"/>
        <v>0.2</v>
      </c>
      <c r="G12" s="48">
        <f t="shared" si="1"/>
        <v>2.3464189797119488E-2</v>
      </c>
      <c r="H12" s="13">
        <f t="shared" si="2"/>
        <v>3</v>
      </c>
      <c r="I12" s="14">
        <f t="shared" si="3"/>
        <v>0.60000000000000009</v>
      </c>
      <c r="J12" s="15">
        <v>0.26315789473684209</v>
      </c>
      <c r="K12" s="15">
        <f t="shared" si="4"/>
        <v>0.78947368421052633</v>
      </c>
      <c r="L12" s="15">
        <v>0.26315789473684209</v>
      </c>
      <c r="M12" s="15">
        <f t="shared" si="5"/>
        <v>0.78947368421052633</v>
      </c>
      <c r="N12" s="16">
        <f t="shared" si="6"/>
        <v>1</v>
      </c>
      <c r="O12" s="15">
        <f t="shared" si="8"/>
        <v>0.26315789473684209</v>
      </c>
      <c r="P12" s="102">
        <f t="shared" si="7"/>
        <v>0.78947368421052633</v>
      </c>
      <c r="Q12" s="134"/>
      <c r="R12" s="131">
        <f t="shared" si="9"/>
        <v>0.78947368421052633</v>
      </c>
      <c r="S12" s="122">
        <v>3.9</v>
      </c>
      <c r="T12" s="142">
        <v>2.9</v>
      </c>
      <c r="U12" s="219">
        <f>0.99*3</f>
        <v>2.9699999999999998</v>
      </c>
      <c r="V12" s="216">
        <f>0.36*3</f>
        <v>1.08</v>
      </c>
      <c r="W12" s="224" t="s">
        <v>128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62"/>
    </row>
    <row r="13" spans="1:49" x14ac:dyDescent="0.25">
      <c r="A13" s="61" t="s">
        <v>44</v>
      </c>
      <c r="B13" s="6">
        <v>695.8</v>
      </c>
      <c r="C13" s="7">
        <v>6854</v>
      </c>
      <c r="D13" s="9">
        <v>1.981134229537463E-2</v>
      </c>
      <c r="E13" s="10">
        <v>38780.199999999997</v>
      </c>
      <c r="F13" s="38">
        <f t="shared" si="0"/>
        <v>5.6580391012547411</v>
      </c>
      <c r="G13" s="48">
        <f t="shared" si="1"/>
        <v>2.3183444842072506E-2</v>
      </c>
      <c r="H13" s="13">
        <f t="shared" si="2"/>
        <v>3</v>
      </c>
      <c r="I13" s="14">
        <f t="shared" si="3"/>
        <v>16.974117303764224</v>
      </c>
      <c r="J13" s="15">
        <v>5.6210526315789471</v>
      </c>
      <c r="K13" s="15">
        <f t="shared" si="4"/>
        <v>16.86315789473684</v>
      </c>
      <c r="L13" s="15">
        <v>6.7684210526315791</v>
      </c>
      <c r="M13" s="15">
        <f t="shared" si="5"/>
        <v>20.305263157894736</v>
      </c>
      <c r="N13" s="16">
        <f t="shared" si="6"/>
        <v>1.2041198501872661</v>
      </c>
      <c r="O13" s="15">
        <f t="shared" si="8"/>
        <v>6.1947368421052627</v>
      </c>
      <c r="P13" s="102">
        <f t="shared" si="7"/>
        <v>18.584210526315786</v>
      </c>
      <c r="Q13" s="134"/>
      <c r="R13" s="131">
        <f t="shared" si="9"/>
        <v>16.86315789473684</v>
      </c>
      <c r="S13" s="122">
        <f>5.4*3</f>
        <v>16.200000000000003</v>
      </c>
      <c r="T13" s="142">
        <f>3*8.5</f>
        <v>25.5</v>
      </c>
      <c r="U13" s="219">
        <f>6.04*3</f>
        <v>18.12</v>
      </c>
      <c r="V13" s="216">
        <f>5.37*3</f>
        <v>16.11</v>
      </c>
      <c r="W13" s="224">
        <v>772</v>
      </c>
      <c r="X13" s="7">
        <v>2670</v>
      </c>
      <c r="Y13" s="7">
        <v>7291</v>
      </c>
      <c r="Z13" s="7">
        <v>6535</v>
      </c>
      <c r="AA13" s="7">
        <v>8979</v>
      </c>
      <c r="AB13" s="7">
        <v>4308</v>
      </c>
      <c r="AC13" s="7">
        <v>1064</v>
      </c>
      <c r="AD13" s="7">
        <v>1769</v>
      </c>
      <c r="AE13" s="7">
        <v>7108</v>
      </c>
      <c r="AF13" s="7">
        <v>6716</v>
      </c>
      <c r="AG13" s="7">
        <v>3551</v>
      </c>
      <c r="AH13" s="7">
        <v>2957</v>
      </c>
      <c r="AI13" s="7">
        <v>6599</v>
      </c>
      <c r="AJ13" s="7">
        <v>2107</v>
      </c>
      <c r="AK13" s="7">
        <v>2896</v>
      </c>
      <c r="AL13" s="7">
        <v>1315</v>
      </c>
      <c r="AM13" s="7">
        <v>2736</v>
      </c>
      <c r="AN13" s="7">
        <v>9502</v>
      </c>
      <c r="AO13" s="7">
        <v>45082</v>
      </c>
      <c r="AP13" s="7">
        <v>20829</v>
      </c>
      <c r="AQ13" s="7">
        <v>5456</v>
      </c>
      <c r="AR13" s="7">
        <v>6735</v>
      </c>
      <c r="AS13" s="7">
        <v>4248</v>
      </c>
      <c r="AT13" s="7">
        <v>61695</v>
      </c>
      <c r="AU13" s="7">
        <v>4044</v>
      </c>
      <c r="AV13" s="7">
        <v>2609</v>
      </c>
      <c r="AW13" s="62">
        <v>1804</v>
      </c>
    </row>
    <row r="14" spans="1:49" ht="30" x14ac:dyDescent="0.25">
      <c r="A14" s="61" t="s">
        <v>6</v>
      </c>
      <c r="B14" s="6">
        <v>548.5</v>
      </c>
      <c r="C14" s="7">
        <v>5480</v>
      </c>
      <c r="D14" s="9">
        <v>2.3764022865687181E-3</v>
      </c>
      <c r="E14" s="10">
        <v>4720.5000000000027</v>
      </c>
      <c r="F14" s="38">
        <f t="shared" si="0"/>
        <v>0.86140510948905158</v>
      </c>
      <c r="G14" s="48">
        <f t="shared" si="1"/>
        <v>1.8535931971776675E-2</v>
      </c>
      <c r="H14" s="13">
        <f t="shared" si="2"/>
        <v>2</v>
      </c>
      <c r="I14" s="14">
        <f t="shared" si="3"/>
        <v>1.7228102189781032</v>
      </c>
      <c r="J14" s="15">
        <v>0.5368421052631579</v>
      </c>
      <c r="K14" s="15">
        <f t="shared" si="4"/>
        <v>1.0736842105263158</v>
      </c>
      <c r="L14" s="15">
        <v>1.3894736842105264</v>
      </c>
      <c r="M14" s="15">
        <f t="shared" si="5"/>
        <v>2.7789473684210528</v>
      </c>
      <c r="N14" s="16">
        <f t="shared" si="6"/>
        <v>2.5882352941176472</v>
      </c>
      <c r="O14" s="15">
        <f t="shared" si="8"/>
        <v>0.96315789473684221</v>
      </c>
      <c r="P14" s="102">
        <f t="shared" si="7"/>
        <v>1.9263157894736844</v>
      </c>
      <c r="Q14" s="134"/>
      <c r="R14" s="131">
        <f t="shared" si="9"/>
        <v>1.0736842105263158</v>
      </c>
      <c r="S14" s="122">
        <f>3.9*2</f>
        <v>7.8</v>
      </c>
      <c r="T14" s="142">
        <v>3.55</v>
      </c>
      <c r="U14" s="219">
        <f>1.09*2</f>
        <v>2.1800000000000002</v>
      </c>
      <c r="V14" s="216">
        <f>1.08*2</f>
        <v>2.16</v>
      </c>
      <c r="W14" s="224" t="s">
        <v>129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62"/>
    </row>
    <row r="15" spans="1:49" ht="30" x14ac:dyDescent="0.25">
      <c r="A15" s="61" t="s">
        <v>9</v>
      </c>
      <c r="B15" s="6">
        <v>538.9</v>
      </c>
      <c r="C15" s="7">
        <v>5389</v>
      </c>
      <c r="D15" s="9">
        <v>1.58456156783512E-3</v>
      </c>
      <c r="E15" s="10">
        <v>3150.65</v>
      </c>
      <c r="F15" s="38">
        <f t="shared" si="0"/>
        <v>0.58464464650213399</v>
      </c>
      <c r="G15" s="48">
        <f t="shared" si="1"/>
        <v>1.822812726202637E-2</v>
      </c>
      <c r="H15" s="13">
        <f t="shared" si="2"/>
        <v>2</v>
      </c>
      <c r="I15" s="14">
        <f t="shared" si="3"/>
        <v>1.169289293004268</v>
      </c>
      <c r="J15" s="15">
        <v>0.4631578947368421</v>
      </c>
      <c r="K15" s="15">
        <f t="shared" si="4"/>
        <v>0.9263157894736842</v>
      </c>
      <c r="L15" s="15">
        <v>0.82105263157894748</v>
      </c>
      <c r="M15" s="15">
        <f t="shared" si="5"/>
        <v>1.642105263157895</v>
      </c>
      <c r="N15" s="16">
        <f t="shared" si="6"/>
        <v>1.7727272727272729</v>
      </c>
      <c r="O15" s="15">
        <f t="shared" si="8"/>
        <v>0.64210526315789473</v>
      </c>
      <c r="P15" s="102">
        <f t="shared" si="7"/>
        <v>1.2842105263157895</v>
      </c>
      <c r="Q15" s="134"/>
      <c r="R15" s="131">
        <f t="shared" si="9"/>
        <v>0.9263157894736842</v>
      </c>
      <c r="S15" s="122">
        <f>33.6*2/50</f>
        <v>1.3440000000000001</v>
      </c>
      <c r="T15" s="142">
        <f>2*1.49</f>
        <v>2.98</v>
      </c>
      <c r="U15" s="219">
        <f>0.99*2</f>
        <v>1.98</v>
      </c>
      <c r="V15" s="216">
        <f>0.55*2</f>
        <v>1.1000000000000001</v>
      </c>
      <c r="W15" s="226">
        <f>W13/$Q$5</f>
        <v>7.0330150863639673E-3</v>
      </c>
      <c r="X15" s="129">
        <f t="shared" ref="X15:AP15" si="13">X13/$Q$5</f>
        <v>2.4324028860870199E-2</v>
      </c>
      <c r="Y15" s="129">
        <f t="shared" si="13"/>
        <v>6.6421908024196494E-2</v>
      </c>
      <c r="Z15" s="129">
        <f t="shared" si="13"/>
        <v>5.9534654908534365E-2</v>
      </c>
      <c r="AA15" s="129">
        <f t="shared" si="13"/>
        <v>8.1799795933241021E-2</v>
      </c>
      <c r="AB15" s="129">
        <f t="shared" si="13"/>
        <v>3.9246410611471466E-2</v>
      </c>
      <c r="AC15" s="129">
        <f t="shared" si="13"/>
        <v>9.693171051672618E-3</v>
      </c>
      <c r="AD15" s="129">
        <f>AD13/$Q$9</f>
        <v>1.4546620727084344E-2</v>
      </c>
      <c r="AE15" s="129">
        <f t="shared" ref="AE15:AL15" si="14">AE13/$Q$9</f>
        <v>5.8449621327368861E-2</v>
      </c>
      <c r="AF15" s="129">
        <f t="shared" si="14"/>
        <v>5.5226175694233159E-2</v>
      </c>
      <c r="AG15" s="129">
        <f t="shared" si="14"/>
        <v>2.920014143690023E-2</v>
      </c>
      <c r="AH15" s="129">
        <f t="shared" si="14"/>
        <v>2.4315634533628269E-2</v>
      </c>
      <c r="AI15" s="129">
        <f t="shared" si="14"/>
        <v>5.4264075849649283E-2</v>
      </c>
      <c r="AJ15" s="129">
        <f t="shared" si="14"/>
        <v>1.7326020278104416E-2</v>
      </c>
      <c r="AK15" s="129">
        <f t="shared" si="14"/>
        <v>2.3814026922349497E-2</v>
      </c>
      <c r="AL15" s="129">
        <f t="shared" si="14"/>
        <v>1.0813344407075135E-2</v>
      </c>
      <c r="AM15" s="129">
        <f t="shared" si="13"/>
        <v>2.4925296990015305E-2</v>
      </c>
      <c r="AN15" s="129">
        <f t="shared" si="13"/>
        <v>8.6564390350557546E-2</v>
      </c>
      <c r="AO15" s="129">
        <f t="shared" si="13"/>
        <v>0.41070257269878291</v>
      </c>
      <c r="AP15" s="129">
        <f t="shared" si="13"/>
        <v>0.18975475548429416</v>
      </c>
      <c r="AQ15" s="129">
        <f>AQ13/$Q$9</f>
        <v>4.486510044486839E-2</v>
      </c>
      <c r="AR15" s="129">
        <f t="shared" ref="AR15:AW15" si="15">AR13/$Q$9</f>
        <v>5.5382414130533103E-2</v>
      </c>
      <c r="AS15" s="129">
        <f t="shared" si="15"/>
        <v>3.4931625126429784E-2</v>
      </c>
      <c r="AT15" s="129">
        <f t="shared" si="15"/>
        <v>0.50732264881711053</v>
      </c>
      <c r="AU15" s="129">
        <f t="shared" si="15"/>
        <v>3.3254117705104065E-2</v>
      </c>
      <c r="AV15" s="129">
        <f t="shared" si="15"/>
        <v>2.1454004226660855E-2</v>
      </c>
      <c r="AW15" s="130">
        <f t="shared" si="15"/>
        <v>1.4834428372900032E-2</v>
      </c>
    </row>
    <row r="16" spans="1:49" x14ac:dyDescent="0.25">
      <c r="A16" s="61" t="s">
        <v>7</v>
      </c>
      <c r="B16" s="6">
        <v>534.1</v>
      </c>
      <c r="C16" s="7">
        <v>5338</v>
      </c>
      <c r="D16" s="9">
        <v>5.5454047186456447E-2</v>
      </c>
      <c r="E16" s="10">
        <v>110196.8000000001</v>
      </c>
      <c r="F16" s="38">
        <f t="shared" si="0"/>
        <v>20.643836642937451</v>
      </c>
      <c r="G16" s="48">
        <f t="shared" si="1"/>
        <v>1.8055621325792682E-2</v>
      </c>
      <c r="H16" s="13">
        <f t="shared" si="2"/>
        <v>2</v>
      </c>
      <c r="I16" s="14">
        <f t="shared" si="3"/>
        <v>41.287673285874902</v>
      </c>
      <c r="J16" s="15">
        <v>20</v>
      </c>
      <c r="K16" s="15">
        <f t="shared" si="4"/>
        <v>40</v>
      </c>
      <c r="L16" s="15">
        <v>41.684210526315795</v>
      </c>
      <c r="M16" s="15">
        <f t="shared" si="5"/>
        <v>83.368421052631589</v>
      </c>
      <c r="N16" s="16">
        <f t="shared" si="6"/>
        <v>2.0842105263157897</v>
      </c>
      <c r="O16" s="15">
        <f t="shared" si="8"/>
        <v>30.842105263157897</v>
      </c>
      <c r="P16" s="102">
        <f t="shared" si="7"/>
        <v>61.684210526315795</v>
      </c>
      <c r="Q16" s="134"/>
      <c r="R16" s="131">
        <f t="shared" si="9"/>
        <v>40</v>
      </c>
      <c r="S16" s="122">
        <f>2.4*10*2</f>
        <v>48</v>
      </c>
      <c r="T16" s="142">
        <f>2.8*2*10</f>
        <v>56</v>
      </c>
      <c r="U16" s="219">
        <f>2.54*2*10</f>
        <v>50.8</v>
      </c>
      <c r="V16" s="216">
        <f>1.6*10*2</f>
        <v>32</v>
      </c>
      <c r="W16" s="224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62"/>
    </row>
    <row r="17" spans="1:49" x14ac:dyDescent="0.25">
      <c r="A17" s="61" t="s">
        <v>46</v>
      </c>
      <c r="B17" s="6">
        <v>436.9</v>
      </c>
      <c r="C17" s="7">
        <v>4367</v>
      </c>
      <c r="D17" s="9">
        <v>5.8690105493936773E-2</v>
      </c>
      <c r="E17" s="10">
        <v>116642.5700000002</v>
      </c>
      <c r="F17" s="38">
        <f t="shared" si="0"/>
        <v>26.710000000000043</v>
      </c>
      <c r="G17" s="48">
        <f t="shared" si="1"/>
        <v>1.4771243598676778E-2</v>
      </c>
      <c r="H17" s="13">
        <f t="shared" si="2"/>
        <v>2</v>
      </c>
      <c r="I17" s="14">
        <f t="shared" si="3"/>
        <v>53.420000000000087</v>
      </c>
      <c r="J17" s="15">
        <v>24.168421052631579</v>
      </c>
      <c r="K17" s="15">
        <f t="shared" si="4"/>
        <v>48.336842105263159</v>
      </c>
      <c r="L17" s="15">
        <v>32.547368421052632</v>
      </c>
      <c r="M17" s="15">
        <f t="shared" si="5"/>
        <v>65.094736842105263</v>
      </c>
      <c r="N17" s="16">
        <f t="shared" si="6"/>
        <v>1.3466898954703832</v>
      </c>
      <c r="O17" s="15">
        <f t="shared" si="8"/>
        <v>28.357894736842105</v>
      </c>
      <c r="P17" s="102">
        <f t="shared" si="7"/>
        <v>56.715789473684211</v>
      </c>
      <c r="Q17" s="134"/>
      <c r="R17" s="131">
        <f t="shared" si="9"/>
        <v>48.336842105263159</v>
      </c>
      <c r="S17" s="122">
        <f>22.9*2</f>
        <v>45.8</v>
      </c>
      <c r="T17" s="142">
        <f>29.37*2</f>
        <v>58.74</v>
      </c>
      <c r="U17" s="219">
        <f>24.29*2</f>
        <v>48.58</v>
      </c>
      <c r="V17" s="216">
        <f>2*27.32</f>
        <v>54.64</v>
      </c>
      <c r="W17" s="224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62"/>
    </row>
    <row r="18" spans="1:49" x14ac:dyDescent="0.25">
      <c r="A18" s="61" t="s">
        <v>18</v>
      </c>
      <c r="B18" s="6">
        <v>594.28571428571433</v>
      </c>
      <c r="C18" s="7">
        <v>4160</v>
      </c>
      <c r="D18" s="9">
        <v>3.5776545058803472E-3</v>
      </c>
      <c r="E18" s="10">
        <v>7113.6000000000022</v>
      </c>
      <c r="F18" s="38">
        <f t="shared" si="0"/>
        <v>1.7100000000000006</v>
      </c>
      <c r="G18" s="48">
        <f t="shared" si="1"/>
        <v>1.4071072445728279E-2</v>
      </c>
      <c r="H18" s="13">
        <f t="shared" si="2"/>
        <v>2</v>
      </c>
      <c r="I18" s="14">
        <f t="shared" si="3"/>
        <v>3.4200000000000013</v>
      </c>
      <c r="J18" s="15">
        <v>1.4000000000000001</v>
      </c>
      <c r="K18" s="15">
        <f t="shared" si="4"/>
        <v>2.8000000000000003</v>
      </c>
      <c r="L18" s="15">
        <v>2.1894736842105265</v>
      </c>
      <c r="M18" s="15">
        <f t="shared" si="5"/>
        <v>4.3789473684210529</v>
      </c>
      <c r="N18" s="16">
        <f t="shared" si="6"/>
        <v>1.5639097744360901</v>
      </c>
      <c r="O18" s="15">
        <f t="shared" si="8"/>
        <v>1.7947368421052632</v>
      </c>
      <c r="P18" s="102">
        <f t="shared" si="7"/>
        <v>3.5894736842105264</v>
      </c>
      <c r="Q18" s="134"/>
      <c r="R18" s="131">
        <f t="shared" si="9"/>
        <v>2.8000000000000003</v>
      </c>
      <c r="S18" s="122">
        <f>21.9*2/10</f>
        <v>4.38</v>
      </c>
      <c r="T18" s="139"/>
      <c r="U18" s="219">
        <f>2.74/5</f>
        <v>0.54800000000000004</v>
      </c>
      <c r="V18" s="216">
        <f>14.43*2/10</f>
        <v>2.8860000000000001</v>
      </c>
      <c r="W18" s="224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62"/>
    </row>
    <row r="19" spans="1:49" x14ac:dyDescent="0.25">
      <c r="A19" s="61" t="s">
        <v>26</v>
      </c>
      <c r="B19" s="6">
        <v>394.7</v>
      </c>
      <c r="C19" s="7">
        <v>3942</v>
      </c>
      <c r="D19" s="9">
        <v>3.6122662612636499E-3</v>
      </c>
      <c r="E19" s="10">
        <v>7172.5199999999959</v>
      </c>
      <c r="F19" s="38">
        <f t="shared" si="0"/>
        <v>1.8195129375951284</v>
      </c>
      <c r="G19" s="48">
        <f t="shared" si="1"/>
        <v>1.3333694130062711E-2</v>
      </c>
      <c r="H19" s="13">
        <f t="shared" si="2"/>
        <v>2</v>
      </c>
      <c r="I19" s="14">
        <f t="shared" si="3"/>
        <v>3.6390258751902569</v>
      </c>
      <c r="J19" s="15">
        <v>2.5052631578947366</v>
      </c>
      <c r="K19" s="15">
        <f t="shared" si="4"/>
        <v>5.0105263157894733</v>
      </c>
      <c r="L19" s="15">
        <v>2.0421052631578949</v>
      </c>
      <c r="M19" s="15">
        <f t="shared" si="5"/>
        <v>4.0842105263157897</v>
      </c>
      <c r="N19" s="17">
        <f t="shared" si="6"/>
        <v>0.81512605042016817</v>
      </c>
      <c r="O19" s="15">
        <f t="shared" si="8"/>
        <v>2.2736842105263158</v>
      </c>
      <c r="P19" s="102">
        <f t="shared" si="7"/>
        <v>4.5473684210526315</v>
      </c>
      <c r="Q19" s="134"/>
      <c r="R19" s="131">
        <f t="shared" si="9"/>
        <v>5.0105263157894733</v>
      </c>
      <c r="S19" s="122">
        <f>12.4*2/6</f>
        <v>4.1333333333333337</v>
      </c>
      <c r="T19" s="142">
        <f>2*3.25</f>
        <v>6.5</v>
      </c>
      <c r="U19" s="219">
        <f>2.85*2</f>
        <v>5.7</v>
      </c>
      <c r="V19" s="216">
        <f>3.22*2</f>
        <v>6.44</v>
      </c>
      <c r="W19" s="224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62"/>
    </row>
    <row r="20" spans="1:49" x14ac:dyDescent="0.25">
      <c r="A20" s="61" t="s">
        <v>2</v>
      </c>
      <c r="B20" s="6">
        <v>385.9</v>
      </c>
      <c r="C20" s="7">
        <v>3859</v>
      </c>
      <c r="D20" s="9">
        <v>5.5982326579868773E-4</v>
      </c>
      <c r="E20" s="10">
        <v>1113.120000000004</v>
      </c>
      <c r="F20" s="38">
        <f t="shared" si="0"/>
        <v>0.28844778440010471</v>
      </c>
      <c r="G20" s="48">
        <f t="shared" si="1"/>
        <v>1.3052949175015729E-2</v>
      </c>
      <c r="H20" s="13">
        <f t="shared" si="2"/>
        <v>2</v>
      </c>
      <c r="I20" s="14">
        <f t="shared" si="3"/>
        <v>0.57689556880020942</v>
      </c>
      <c r="J20" s="15">
        <v>0.24950000000000003</v>
      </c>
      <c r="K20" s="15">
        <f t="shared" si="4"/>
        <v>0.49900000000000005</v>
      </c>
      <c r="L20" s="15">
        <v>0.30526315789473685</v>
      </c>
      <c r="M20" s="15">
        <f t="shared" si="5"/>
        <v>0.61052631578947369</v>
      </c>
      <c r="N20" s="16">
        <f t="shared" si="6"/>
        <v>1.2234996308406285</v>
      </c>
      <c r="O20" s="15">
        <f t="shared" si="8"/>
        <v>0.27738157894736842</v>
      </c>
      <c r="P20" s="102">
        <f t="shared" si="7"/>
        <v>0.55476315789473685</v>
      </c>
      <c r="Q20" s="134"/>
      <c r="R20" s="131">
        <f t="shared" si="9"/>
        <v>0.49900000000000005</v>
      </c>
      <c r="S20" s="122">
        <f>3.2*2</f>
        <v>6.4</v>
      </c>
      <c r="T20" s="142">
        <f>2*3.1</f>
        <v>6.2</v>
      </c>
      <c r="U20" s="219">
        <f>1.63*2</f>
        <v>3.26</v>
      </c>
      <c r="V20" s="216">
        <f>0.31*2</f>
        <v>0.62</v>
      </c>
      <c r="W20" s="224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62"/>
    </row>
    <row r="21" spans="1:49" x14ac:dyDescent="0.25">
      <c r="A21" s="61" t="s">
        <v>16</v>
      </c>
      <c r="B21" s="6">
        <v>452.28571428571428</v>
      </c>
      <c r="C21" s="7">
        <v>3161</v>
      </c>
      <c r="D21" s="9">
        <v>3.104949058557337E-3</v>
      </c>
      <c r="E21" s="10">
        <v>6163.9499999999971</v>
      </c>
      <c r="F21" s="38">
        <f t="shared" si="0"/>
        <v>1.9499999999999991</v>
      </c>
      <c r="G21" s="48">
        <f t="shared" si="1"/>
        <v>1.0691985577150743E-2</v>
      </c>
      <c r="H21" s="13">
        <f t="shared" si="2"/>
        <v>2</v>
      </c>
      <c r="I21" s="14">
        <f t="shared" si="3"/>
        <v>3.8999999999999981</v>
      </c>
      <c r="J21" s="15">
        <v>2</v>
      </c>
      <c r="K21" s="15">
        <f t="shared" si="4"/>
        <v>4</v>
      </c>
      <c r="L21" s="15">
        <v>9.9789473684210535</v>
      </c>
      <c r="M21" s="15">
        <f t="shared" si="5"/>
        <v>19.957894736842107</v>
      </c>
      <c r="N21" s="16">
        <f t="shared" si="6"/>
        <v>4.9894736842105267</v>
      </c>
      <c r="O21" s="15">
        <f t="shared" si="8"/>
        <v>5.9894736842105267</v>
      </c>
      <c r="P21" s="102">
        <f t="shared" si="7"/>
        <v>11.978947368421053</v>
      </c>
      <c r="Q21" s="134"/>
      <c r="R21" s="131">
        <f t="shared" si="9"/>
        <v>4</v>
      </c>
      <c r="S21" s="122">
        <f>13.2*2</f>
        <v>26.4</v>
      </c>
      <c r="T21" s="142">
        <f>2*5.49</f>
        <v>10.98</v>
      </c>
      <c r="U21" s="219">
        <f>3.2*2</f>
        <v>6.4</v>
      </c>
      <c r="V21" s="216">
        <f>7.67*2</f>
        <v>15.34</v>
      </c>
      <c r="W21" s="224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62"/>
    </row>
    <row r="22" spans="1:49" x14ac:dyDescent="0.25">
      <c r="A22" s="61" t="s">
        <v>56</v>
      </c>
      <c r="B22" s="6">
        <v>303.5</v>
      </c>
      <c r="C22" s="7">
        <v>3030</v>
      </c>
      <c r="D22" s="9">
        <v>5.6629348133205113E-3</v>
      </c>
      <c r="E22" s="10">
        <v>11241.29999999999</v>
      </c>
      <c r="F22" s="38">
        <f t="shared" si="0"/>
        <v>3.7099999999999969</v>
      </c>
      <c r="G22" s="48">
        <f t="shared" si="1"/>
        <v>1.0248882093883818E-2</v>
      </c>
      <c r="H22" s="13">
        <f t="shared" si="2"/>
        <v>2</v>
      </c>
      <c r="I22" s="14">
        <f t="shared" si="3"/>
        <v>7.4199999999999937</v>
      </c>
      <c r="J22" s="15">
        <v>4.4947368421052625</v>
      </c>
      <c r="K22" s="15">
        <f t="shared" si="4"/>
        <v>8.989473684210525</v>
      </c>
      <c r="L22" s="15">
        <v>6.8315789473684214</v>
      </c>
      <c r="M22" s="15">
        <f t="shared" si="5"/>
        <v>13.663157894736843</v>
      </c>
      <c r="N22" s="16">
        <f t="shared" si="6"/>
        <v>1.5199063231850121</v>
      </c>
      <c r="O22" s="15">
        <f t="shared" si="8"/>
        <v>5.6631578947368419</v>
      </c>
      <c r="P22" s="102">
        <f t="shared" si="7"/>
        <v>11.326315789473684</v>
      </c>
      <c r="Q22" s="134"/>
      <c r="R22" s="131">
        <f t="shared" si="9"/>
        <v>8.989473684210525</v>
      </c>
      <c r="S22" s="122">
        <f>10.9*2</f>
        <v>21.8</v>
      </c>
      <c r="T22" s="142">
        <f>2*9.1</f>
        <v>18.2</v>
      </c>
      <c r="U22" s="219">
        <f>9.97*2</f>
        <v>19.940000000000001</v>
      </c>
      <c r="V22" s="216">
        <f>4.87*2</f>
        <v>9.74</v>
      </c>
      <c r="W22" s="224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62"/>
    </row>
    <row r="23" spans="1:49" x14ac:dyDescent="0.25">
      <c r="A23" s="61" t="s">
        <v>25</v>
      </c>
      <c r="B23" s="6">
        <v>294.8</v>
      </c>
      <c r="C23" s="7">
        <v>2943</v>
      </c>
      <c r="D23" s="9">
        <v>3.9928698375702957E-3</v>
      </c>
      <c r="E23" s="10">
        <v>7925.4899999999652</v>
      </c>
      <c r="F23" s="38">
        <f t="shared" si="0"/>
        <v>2.6929969418960127</v>
      </c>
      <c r="G23" s="48">
        <f t="shared" si="1"/>
        <v>9.9546072614851745E-3</v>
      </c>
      <c r="H23" s="13">
        <f t="shared" si="2"/>
        <v>1</v>
      </c>
      <c r="I23" s="14">
        <f t="shared" si="3"/>
        <v>2.6929969418960127</v>
      </c>
      <c r="J23" s="15">
        <v>2.8105263157894735</v>
      </c>
      <c r="K23" s="15">
        <f t="shared" si="4"/>
        <v>2.8105263157894735</v>
      </c>
      <c r="L23" s="15">
        <v>2.9578947368421056</v>
      </c>
      <c r="M23" s="15">
        <f t="shared" si="5"/>
        <v>2.9578947368421056</v>
      </c>
      <c r="N23" s="16">
        <f t="shared" si="6"/>
        <v>1.0524344569288391</v>
      </c>
      <c r="O23" s="15">
        <f t="shared" si="8"/>
        <v>2.8842105263157896</v>
      </c>
      <c r="P23" s="102">
        <f t="shared" si="7"/>
        <v>2.8842105263157896</v>
      </c>
      <c r="Q23" s="134"/>
      <c r="R23" s="131">
        <f t="shared" si="9"/>
        <v>2.8105263157894735</v>
      </c>
      <c r="S23" s="122">
        <v>10.3</v>
      </c>
      <c r="T23" s="142">
        <f>3.9</f>
        <v>3.9</v>
      </c>
      <c r="U23" s="219">
        <v>2.85</v>
      </c>
      <c r="V23" s="216">
        <v>3.12</v>
      </c>
      <c r="W23" s="224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62"/>
    </row>
    <row r="24" spans="1:49" x14ac:dyDescent="0.25">
      <c r="A24" s="61" t="s">
        <v>15</v>
      </c>
      <c r="B24" s="6">
        <v>208.1</v>
      </c>
      <c r="C24" s="7">
        <v>2074</v>
      </c>
      <c r="D24" s="9">
        <v>6.1170217313745584E-3</v>
      </c>
      <c r="E24" s="10">
        <v>12115.13</v>
      </c>
      <c r="F24" s="38">
        <f t="shared" si="0"/>
        <v>5.8414320154291222</v>
      </c>
      <c r="G24" s="48">
        <f t="shared" si="1"/>
        <v>7.015241406836647E-3</v>
      </c>
      <c r="H24" s="13">
        <f t="shared" si="2"/>
        <v>1</v>
      </c>
      <c r="I24" s="14">
        <f t="shared" si="3"/>
        <v>5.8414320154291222</v>
      </c>
      <c r="J24" s="15">
        <v>6.3578947368421055</v>
      </c>
      <c r="K24" s="15">
        <f t="shared" si="4"/>
        <v>6.3578947368421055</v>
      </c>
      <c r="L24" s="15">
        <v>12.200000000000001</v>
      </c>
      <c r="M24" s="15">
        <f t="shared" si="5"/>
        <v>12.200000000000001</v>
      </c>
      <c r="N24" s="16">
        <f t="shared" si="6"/>
        <v>1.9188741721854305</v>
      </c>
      <c r="O24" s="15">
        <f t="shared" si="8"/>
        <v>9.2789473684210542</v>
      </c>
      <c r="P24" s="102">
        <f t="shared" si="7"/>
        <v>9.2789473684210542</v>
      </c>
      <c r="Q24" s="134"/>
      <c r="R24" s="131">
        <f t="shared" si="9"/>
        <v>6.3578947368421055</v>
      </c>
      <c r="S24" s="122">
        <v>8.3000000000000007</v>
      </c>
      <c r="T24" s="142">
        <v>7.9</v>
      </c>
      <c r="U24" s="219">
        <v>8.3800000000000008</v>
      </c>
      <c r="V24" s="216">
        <v>8.11</v>
      </c>
      <c r="W24" s="224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62"/>
    </row>
    <row r="25" spans="1:49" x14ac:dyDescent="0.25">
      <c r="A25" s="61" t="s">
        <v>21</v>
      </c>
      <c r="B25" s="6">
        <v>227.7777777777778</v>
      </c>
      <c r="C25" s="7">
        <v>2050</v>
      </c>
      <c r="D25" s="9">
        <v>3.6019310160859859E-3</v>
      </c>
      <c r="E25" s="10">
        <v>7161.869999999999</v>
      </c>
      <c r="F25" s="38">
        <f t="shared" si="0"/>
        <v>3.4935951219512189</v>
      </c>
      <c r="G25" s="48">
        <f t="shared" si="1"/>
        <v>6.9340621427266763E-3</v>
      </c>
      <c r="H25" s="13">
        <f t="shared" si="2"/>
        <v>1</v>
      </c>
      <c r="I25" s="14">
        <f t="shared" si="3"/>
        <v>3.4935951219512189</v>
      </c>
      <c r="J25" s="15">
        <v>2.7473684210526317</v>
      </c>
      <c r="K25" s="15">
        <f t="shared" si="4"/>
        <v>2.7473684210526317</v>
      </c>
      <c r="L25" s="15">
        <v>4.2842105263157899</v>
      </c>
      <c r="M25" s="15">
        <f t="shared" si="5"/>
        <v>4.2842105263157899</v>
      </c>
      <c r="N25" s="16">
        <f t="shared" si="6"/>
        <v>1.5593869731800767</v>
      </c>
      <c r="O25" s="15">
        <f t="shared" si="8"/>
        <v>3.5157894736842108</v>
      </c>
      <c r="P25" s="102">
        <f t="shared" si="7"/>
        <v>3.5157894736842108</v>
      </c>
      <c r="Q25" s="134"/>
      <c r="R25" s="131">
        <f t="shared" si="9"/>
        <v>2.7473684210526317</v>
      </c>
      <c r="S25" s="122">
        <f>29.8/10</f>
        <v>2.98</v>
      </c>
      <c r="T25" s="142">
        <f>41/10</f>
        <v>4.0999999999999996</v>
      </c>
      <c r="U25" s="219">
        <v>5.95</v>
      </c>
      <c r="V25" s="216">
        <f>0.42*10</f>
        <v>4.2</v>
      </c>
      <c r="W25" s="224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62"/>
    </row>
    <row r="26" spans="1:49" ht="30" x14ac:dyDescent="0.25">
      <c r="A26" s="61" t="s">
        <v>52</v>
      </c>
      <c r="B26" s="6">
        <v>192.5</v>
      </c>
      <c r="C26" s="7">
        <v>1925</v>
      </c>
      <c r="D26" s="9">
        <v>1.49094084326955E-3</v>
      </c>
      <c r="E26" s="10">
        <v>2964.4999999999941</v>
      </c>
      <c r="F26" s="38">
        <f t="shared" si="0"/>
        <v>1.5399999999999969</v>
      </c>
      <c r="G26" s="48">
        <f t="shared" si="1"/>
        <v>6.5112534754872449E-3</v>
      </c>
      <c r="H26" s="13">
        <f t="shared" si="2"/>
        <v>1</v>
      </c>
      <c r="I26" s="14">
        <f t="shared" si="3"/>
        <v>1.5399999999999969</v>
      </c>
      <c r="J26" s="15">
        <v>2.168421052631579</v>
      </c>
      <c r="K26" s="15">
        <f t="shared" si="4"/>
        <v>2.168421052631579</v>
      </c>
      <c r="L26" s="15">
        <v>7.3368421052631581</v>
      </c>
      <c r="M26" s="15">
        <f t="shared" si="5"/>
        <v>7.3368421052631581</v>
      </c>
      <c r="N26" s="16">
        <f t="shared" si="6"/>
        <v>3.383495145631068</v>
      </c>
      <c r="O26" s="15">
        <f t="shared" si="8"/>
        <v>4.7526315789473683</v>
      </c>
      <c r="P26" s="102">
        <f t="shared" si="7"/>
        <v>4.7526315789473683</v>
      </c>
      <c r="Q26" s="134"/>
      <c r="R26" s="131">
        <f t="shared" si="9"/>
        <v>2.168421052631579</v>
      </c>
      <c r="S26" s="122">
        <v>6.9</v>
      </c>
      <c r="T26" s="142">
        <v>6.9</v>
      </c>
      <c r="U26" s="219">
        <v>2.19</v>
      </c>
      <c r="V26" s="216">
        <v>2.66</v>
      </c>
      <c r="W26" s="224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62"/>
    </row>
    <row r="27" spans="1:49" x14ac:dyDescent="0.25">
      <c r="A27" s="61" t="s">
        <v>30</v>
      </c>
      <c r="B27" s="6">
        <v>191.9</v>
      </c>
      <c r="C27" s="7">
        <v>1919</v>
      </c>
      <c r="D27" s="9">
        <v>2.1589864479035461E-2</v>
      </c>
      <c r="E27" s="10">
        <v>42928.030000000013</v>
      </c>
      <c r="F27" s="38">
        <f t="shared" si="0"/>
        <v>22.370000000000008</v>
      </c>
      <c r="G27" s="48">
        <f t="shared" si="1"/>
        <v>6.4909586594597522E-3</v>
      </c>
      <c r="H27" s="13">
        <f t="shared" si="2"/>
        <v>1</v>
      </c>
      <c r="I27" s="14">
        <f t="shared" si="3"/>
        <v>22.370000000000008</v>
      </c>
      <c r="J27" s="24">
        <v>0</v>
      </c>
      <c r="K27" s="24">
        <f t="shared" si="4"/>
        <v>0</v>
      </c>
      <c r="L27" s="24">
        <v>28.8</v>
      </c>
      <c r="M27" s="24">
        <f t="shared" si="5"/>
        <v>28.8</v>
      </c>
      <c r="N27" s="36"/>
      <c r="O27" s="15">
        <f>L27</f>
        <v>28.8</v>
      </c>
      <c r="P27" s="102">
        <f t="shared" si="7"/>
        <v>28.8</v>
      </c>
      <c r="Q27" s="134"/>
      <c r="R27" s="143">
        <f t="shared" si="9"/>
        <v>0</v>
      </c>
      <c r="S27" s="145">
        <v>21.9</v>
      </c>
      <c r="T27" s="139">
        <v>11.5</v>
      </c>
      <c r="U27" s="217">
        <v>12.9</v>
      </c>
      <c r="V27" s="217">
        <v>9.5</v>
      </c>
      <c r="W27" s="224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62"/>
    </row>
    <row r="28" spans="1:49" ht="30" x14ac:dyDescent="0.25">
      <c r="A28" s="61" t="s">
        <v>51</v>
      </c>
      <c r="B28" s="6">
        <v>182.9</v>
      </c>
      <c r="C28" s="7">
        <v>1829</v>
      </c>
      <c r="D28" s="9">
        <v>1.664950160983442E-3</v>
      </c>
      <c r="E28" s="10">
        <v>3310.4899999999961</v>
      </c>
      <c r="F28" s="38">
        <f t="shared" si="0"/>
        <v>1.8099999999999978</v>
      </c>
      <c r="G28" s="48">
        <f t="shared" si="1"/>
        <v>6.1865364190473613E-3</v>
      </c>
      <c r="H28" s="13">
        <f t="shared" si="2"/>
        <v>1</v>
      </c>
      <c r="I28" s="14">
        <f t="shared" si="3"/>
        <v>1.8099999999999978</v>
      </c>
      <c r="J28" s="15">
        <v>1.6</v>
      </c>
      <c r="K28" s="15">
        <f t="shared" si="4"/>
        <v>1.6</v>
      </c>
      <c r="L28" s="15">
        <v>7.7473684210526326</v>
      </c>
      <c r="M28" s="15">
        <f t="shared" si="5"/>
        <v>7.7473684210526326</v>
      </c>
      <c r="N28" s="16">
        <f t="shared" ref="N28:N35" si="16">L28/J28</f>
        <v>4.8421052631578947</v>
      </c>
      <c r="O28" s="15">
        <f t="shared" ref="O28:O58" si="17">AVERAGE(J28,L28)</f>
        <v>4.6736842105263161</v>
      </c>
      <c r="P28" s="102">
        <f t="shared" si="7"/>
        <v>4.6736842105263161</v>
      </c>
      <c r="Q28" s="134"/>
      <c r="R28" s="131">
        <f t="shared" si="9"/>
        <v>1.6</v>
      </c>
      <c r="S28" s="122">
        <v>4.8</v>
      </c>
      <c r="T28" s="142">
        <v>6.9</v>
      </c>
      <c r="U28" s="219">
        <v>5.73</v>
      </c>
      <c r="V28" s="216">
        <v>2.66</v>
      </c>
      <c r="W28" s="224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62"/>
    </row>
    <row r="29" spans="1:49" x14ac:dyDescent="0.25">
      <c r="A29" s="61" t="s">
        <v>45</v>
      </c>
      <c r="B29" s="6">
        <v>180</v>
      </c>
      <c r="C29" s="7">
        <v>1800</v>
      </c>
      <c r="D29" s="9">
        <v>1.8434154530172461E-3</v>
      </c>
      <c r="E29" s="10">
        <v>3665.3400000000029</v>
      </c>
      <c r="F29" s="38">
        <f t="shared" si="0"/>
        <v>2.0363000000000016</v>
      </c>
      <c r="G29" s="48">
        <f t="shared" si="1"/>
        <v>6.0884448082478134E-3</v>
      </c>
      <c r="H29" s="13">
        <f t="shared" si="2"/>
        <v>1</v>
      </c>
      <c r="I29" s="14">
        <f t="shared" si="3"/>
        <v>2.0363000000000016</v>
      </c>
      <c r="J29" s="15">
        <v>2.6947368421052635</v>
      </c>
      <c r="K29" s="15">
        <f t="shared" si="4"/>
        <v>2.6947368421052635</v>
      </c>
      <c r="L29" s="15">
        <v>4.2</v>
      </c>
      <c r="M29" s="15">
        <f t="shared" si="5"/>
        <v>4.2</v>
      </c>
      <c r="N29" s="16">
        <f t="shared" si="16"/>
        <v>1.5585937499999998</v>
      </c>
      <c r="O29" s="15">
        <f t="shared" si="17"/>
        <v>3.4473684210526319</v>
      </c>
      <c r="P29" s="102">
        <f t="shared" si="7"/>
        <v>3.4473684210526319</v>
      </c>
      <c r="Q29" s="134"/>
      <c r="R29" s="131">
        <f t="shared" si="9"/>
        <v>2.6947368421052635</v>
      </c>
      <c r="S29" s="122">
        <v>3.2</v>
      </c>
      <c r="T29" s="142">
        <v>8.9</v>
      </c>
      <c r="U29" s="219">
        <v>1.64</v>
      </c>
      <c r="V29" s="216">
        <v>3.41</v>
      </c>
      <c r="W29" s="224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62"/>
    </row>
    <row r="30" spans="1:49" x14ac:dyDescent="0.25">
      <c r="A30" s="61" t="s">
        <v>55</v>
      </c>
      <c r="B30" s="6">
        <v>176.8</v>
      </c>
      <c r="C30" s="7">
        <v>1763</v>
      </c>
      <c r="D30" s="9">
        <v>8.5018078883623393E-4</v>
      </c>
      <c r="E30" s="10">
        <v>1685.700000000001</v>
      </c>
      <c r="F30" s="38">
        <f t="shared" si="0"/>
        <v>0.95615428247305778</v>
      </c>
      <c r="G30" s="48">
        <f t="shared" si="1"/>
        <v>5.9632934427449411E-3</v>
      </c>
      <c r="H30" s="13">
        <f t="shared" si="2"/>
        <v>1</v>
      </c>
      <c r="I30" s="14">
        <f t="shared" si="3"/>
        <v>0.95615428247305778</v>
      </c>
      <c r="J30" s="15">
        <v>1.1157894736842107</v>
      </c>
      <c r="K30" s="15">
        <f t="shared" si="4"/>
        <v>1.1157894736842107</v>
      </c>
      <c r="L30" s="15">
        <v>1.0736842105263158</v>
      </c>
      <c r="M30" s="15">
        <f t="shared" si="5"/>
        <v>1.0736842105263158</v>
      </c>
      <c r="N30" s="17">
        <f t="shared" si="16"/>
        <v>0.96226415094339612</v>
      </c>
      <c r="O30" s="15">
        <f t="shared" si="17"/>
        <v>1.0947368421052632</v>
      </c>
      <c r="P30" s="102">
        <f t="shared" si="7"/>
        <v>1.0947368421052632</v>
      </c>
      <c r="Q30" s="134"/>
      <c r="R30" s="131">
        <f t="shared" si="9"/>
        <v>1.1157894736842107</v>
      </c>
      <c r="S30" s="122">
        <v>1.99</v>
      </c>
      <c r="T30" s="142">
        <v>1.9</v>
      </c>
      <c r="U30" s="219">
        <v>1.05</v>
      </c>
      <c r="V30" s="216">
        <v>1.57</v>
      </c>
      <c r="W30" s="224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62"/>
    </row>
    <row r="31" spans="1:49" x14ac:dyDescent="0.25">
      <c r="A31" s="61" t="s">
        <v>12</v>
      </c>
      <c r="B31" s="6">
        <v>248.83333333333329</v>
      </c>
      <c r="C31" s="7">
        <v>1493</v>
      </c>
      <c r="D31" s="9">
        <v>2.552981584956958E-3</v>
      </c>
      <c r="E31" s="10">
        <v>5076.2000000000007</v>
      </c>
      <c r="F31" s="38">
        <f t="shared" si="0"/>
        <v>3.4000000000000004</v>
      </c>
      <c r="G31" s="48">
        <f t="shared" si="1"/>
        <v>5.0500267215077693E-3</v>
      </c>
      <c r="H31" s="13">
        <f t="shared" si="2"/>
        <v>1</v>
      </c>
      <c r="I31" s="14">
        <f t="shared" si="3"/>
        <v>3.4000000000000004</v>
      </c>
      <c r="J31" s="15">
        <v>3.2</v>
      </c>
      <c r="K31" s="15">
        <f t="shared" si="4"/>
        <v>3.2</v>
      </c>
      <c r="L31" s="15">
        <v>3.9789473684210526</v>
      </c>
      <c r="M31" s="15">
        <f t="shared" si="5"/>
        <v>3.9789473684210526</v>
      </c>
      <c r="N31" s="16">
        <f t="shared" si="16"/>
        <v>1.2434210526315788</v>
      </c>
      <c r="O31" s="15">
        <f t="shared" si="17"/>
        <v>3.5894736842105264</v>
      </c>
      <c r="P31" s="102">
        <f t="shared" si="7"/>
        <v>3.5894736842105264</v>
      </c>
      <c r="Q31" s="134"/>
      <c r="R31" s="131">
        <f t="shared" si="9"/>
        <v>3.2</v>
      </c>
      <c r="S31" s="122">
        <v>5.3</v>
      </c>
      <c r="T31" s="142">
        <v>2</v>
      </c>
      <c r="U31" s="217"/>
      <c r="V31" s="216">
        <v>5.72</v>
      </c>
      <c r="W31" s="224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62"/>
    </row>
    <row r="32" spans="1:49" x14ac:dyDescent="0.25">
      <c r="A32" s="61" t="s">
        <v>10</v>
      </c>
      <c r="B32" s="6">
        <v>133.6</v>
      </c>
      <c r="C32" s="7">
        <v>1336</v>
      </c>
      <c r="D32" s="9">
        <v>1.6604288055504931E-3</v>
      </c>
      <c r="E32" s="10">
        <v>3301.5000000000068</v>
      </c>
      <c r="F32" s="38">
        <f t="shared" si="0"/>
        <v>2.4711826347305439</v>
      </c>
      <c r="G32" s="48">
        <f t="shared" si="1"/>
        <v>4.5189790354550436E-3</v>
      </c>
      <c r="H32" s="13">
        <f t="shared" si="2"/>
        <v>1</v>
      </c>
      <c r="I32" s="14">
        <f t="shared" si="3"/>
        <v>2.4711826347305439</v>
      </c>
      <c r="J32" s="15">
        <v>1.463157894736842</v>
      </c>
      <c r="K32" s="15">
        <f t="shared" si="4"/>
        <v>1.463157894736842</v>
      </c>
      <c r="L32" s="15">
        <v>4.2736842105263158</v>
      </c>
      <c r="M32" s="15">
        <f t="shared" si="5"/>
        <v>4.2736842105263158</v>
      </c>
      <c r="N32" s="16">
        <f t="shared" si="16"/>
        <v>2.920863309352518</v>
      </c>
      <c r="O32" s="15">
        <f t="shared" si="17"/>
        <v>2.8684210526315788</v>
      </c>
      <c r="P32" s="102">
        <f t="shared" si="7"/>
        <v>2.8684210526315788</v>
      </c>
      <c r="Q32" s="134"/>
      <c r="R32" s="131">
        <f t="shared" si="9"/>
        <v>1.463157894736842</v>
      </c>
      <c r="S32" s="122">
        <v>4.8</v>
      </c>
      <c r="T32" s="142">
        <v>4.5</v>
      </c>
      <c r="U32" s="219">
        <v>3.78</v>
      </c>
      <c r="V32" s="216">
        <v>3.37</v>
      </c>
      <c r="W32" s="224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62"/>
    </row>
    <row r="33" spans="1:49" x14ac:dyDescent="0.25">
      <c r="A33" s="61" t="s">
        <v>23</v>
      </c>
      <c r="B33" s="6">
        <v>131.5</v>
      </c>
      <c r="C33" s="7">
        <v>1310</v>
      </c>
      <c r="D33" s="9">
        <v>1.190338602749329E-3</v>
      </c>
      <c r="E33" s="10">
        <v>2356.900000000006</v>
      </c>
      <c r="F33" s="38">
        <f t="shared" si="0"/>
        <v>1.7991603053435161</v>
      </c>
      <c r="G33" s="48">
        <f t="shared" si="1"/>
        <v>4.4310348326692421E-3</v>
      </c>
      <c r="H33" s="13">
        <f t="shared" si="2"/>
        <v>1</v>
      </c>
      <c r="I33" s="14">
        <f t="shared" si="3"/>
        <v>1.7991603053435161</v>
      </c>
      <c r="J33" s="15">
        <v>1.442105263157895</v>
      </c>
      <c r="K33" s="15">
        <f t="shared" si="4"/>
        <v>1.442105263157895</v>
      </c>
      <c r="L33" s="15">
        <v>4.2736842105263158</v>
      </c>
      <c r="M33" s="15">
        <f t="shared" si="5"/>
        <v>4.2736842105263158</v>
      </c>
      <c r="N33" s="16">
        <f t="shared" si="16"/>
        <v>2.9635036496350358</v>
      </c>
      <c r="O33" s="15">
        <f t="shared" si="17"/>
        <v>2.8578947368421055</v>
      </c>
      <c r="P33" s="102">
        <f t="shared" si="7"/>
        <v>2.8578947368421055</v>
      </c>
      <c r="Q33" s="134"/>
      <c r="R33" s="131">
        <f t="shared" si="9"/>
        <v>1.442105263157895</v>
      </c>
      <c r="S33" s="122">
        <v>7.9</v>
      </c>
      <c r="T33" s="142">
        <v>3.9</v>
      </c>
      <c r="U33" s="219">
        <v>1.98</v>
      </c>
      <c r="V33" s="216">
        <v>2.46</v>
      </c>
      <c r="W33" s="224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62"/>
    </row>
    <row r="34" spans="1:49" ht="30" x14ac:dyDescent="0.25">
      <c r="A34" s="61" t="s">
        <v>31</v>
      </c>
      <c r="B34" s="6">
        <v>124.3</v>
      </c>
      <c r="C34" s="7">
        <v>1238</v>
      </c>
      <c r="D34" s="9">
        <v>2.1942555349387951E-3</v>
      </c>
      <c r="E34" s="10">
        <v>4345.380000000021</v>
      </c>
      <c r="F34" s="38">
        <f t="shared" si="0"/>
        <v>3.5100000000000171</v>
      </c>
      <c r="G34" s="48">
        <f t="shared" si="1"/>
        <v>4.1874970403393292E-3</v>
      </c>
      <c r="H34" s="13">
        <f t="shared" si="2"/>
        <v>1</v>
      </c>
      <c r="I34" s="14">
        <f t="shared" si="3"/>
        <v>3.5100000000000171</v>
      </c>
      <c r="J34" s="15">
        <v>3.4421052631578948</v>
      </c>
      <c r="K34" s="15">
        <f t="shared" si="4"/>
        <v>3.4421052631578948</v>
      </c>
      <c r="L34" s="15">
        <v>4.9894736842105267</v>
      </c>
      <c r="M34" s="15">
        <f t="shared" si="5"/>
        <v>4.9894736842105267</v>
      </c>
      <c r="N34" s="16">
        <f t="shared" si="16"/>
        <v>1.4495412844036699</v>
      </c>
      <c r="O34" s="15">
        <f t="shared" si="17"/>
        <v>4.215789473684211</v>
      </c>
      <c r="P34" s="102">
        <f t="shared" si="7"/>
        <v>4.215789473684211</v>
      </c>
      <c r="Q34" s="134"/>
      <c r="R34" s="131">
        <f t="shared" si="9"/>
        <v>3.4421052631578948</v>
      </c>
      <c r="S34" s="122">
        <v>5.8</v>
      </c>
      <c r="T34" s="142">
        <v>9.4</v>
      </c>
      <c r="U34" s="219">
        <v>3.97</v>
      </c>
      <c r="V34" s="216">
        <v>3.54</v>
      </c>
      <c r="W34" s="224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62"/>
    </row>
    <row r="35" spans="1:49" x14ac:dyDescent="0.25">
      <c r="A35" s="61" t="s">
        <v>41</v>
      </c>
      <c r="B35" s="6">
        <v>121.8</v>
      </c>
      <c r="C35" s="7">
        <v>1218</v>
      </c>
      <c r="D35" s="9">
        <v>1.4239171554911211E-2</v>
      </c>
      <c r="E35" s="10">
        <v>28312.34</v>
      </c>
      <c r="F35" s="38">
        <f t="shared" ref="F35:F58" si="18">E35/C35</f>
        <v>23.244942528735631</v>
      </c>
      <c r="G35" s="48">
        <f t="shared" ref="G35:G58" si="19">C35/$G$2</f>
        <v>4.1198476535810203E-3</v>
      </c>
      <c r="H35" s="13">
        <f t="shared" ref="H35:H58" si="20">ROUNDUP((G35*100),0)</f>
        <v>1</v>
      </c>
      <c r="I35" s="14">
        <f t="shared" ref="I35:I58" si="21">H35*F35</f>
        <v>23.244942528735631</v>
      </c>
      <c r="J35" s="15">
        <v>21.621052631578948</v>
      </c>
      <c r="K35" s="15">
        <f t="shared" si="4"/>
        <v>21.621052631578948</v>
      </c>
      <c r="L35" s="15">
        <v>62.694736842105272</v>
      </c>
      <c r="M35" s="15">
        <f t="shared" si="5"/>
        <v>62.694736842105272</v>
      </c>
      <c r="N35" s="16">
        <f t="shared" si="16"/>
        <v>2.8997078870496593</v>
      </c>
      <c r="O35" s="15">
        <f t="shared" si="17"/>
        <v>42.15789473684211</v>
      </c>
      <c r="P35" s="102">
        <f t="shared" si="7"/>
        <v>42.15789473684211</v>
      </c>
      <c r="Q35" s="134"/>
      <c r="R35" s="131">
        <f t="shared" si="9"/>
        <v>21.621052631578948</v>
      </c>
      <c r="S35" s="122">
        <v>31.9</v>
      </c>
      <c r="T35" s="142">
        <v>25.62</v>
      </c>
      <c r="U35" s="219">
        <v>19.38</v>
      </c>
      <c r="V35" s="216">
        <v>22.05</v>
      </c>
      <c r="W35" s="224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62"/>
    </row>
    <row r="36" spans="1:49" x14ac:dyDescent="0.25">
      <c r="A36" s="61" t="s">
        <v>19</v>
      </c>
      <c r="B36" s="6">
        <v>123.8888888888889</v>
      </c>
      <c r="C36" s="7">
        <v>1115</v>
      </c>
      <c r="D36" s="9">
        <v>1.3871850403185681E-2</v>
      </c>
      <c r="E36" s="10">
        <v>27581.980000000029</v>
      </c>
      <c r="F36" s="38">
        <f t="shared" si="18"/>
        <v>24.737201793721997</v>
      </c>
      <c r="G36" s="48">
        <f t="shared" si="19"/>
        <v>3.7714533117757286E-3</v>
      </c>
      <c r="H36" s="13">
        <f t="shared" si="20"/>
        <v>1</v>
      </c>
      <c r="I36" s="14">
        <f t="shared" si="21"/>
        <v>24.737201793721997</v>
      </c>
      <c r="J36" s="24">
        <v>0</v>
      </c>
      <c r="K36" s="24">
        <f t="shared" si="4"/>
        <v>0</v>
      </c>
      <c r="L36" s="24">
        <v>25.831578947368421</v>
      </c>
      <c r="M36" s="24">
        <f t="shared" si="5"/>
        <v>25.831578947368421</v>
      </c>
      <c r="N36" s="36"/>
      <c r="O36" s="15">
        <f>L36</f>
        <v>25.831578947368421</v>
      </c>
      <c r="P36" s="102">
        <f t="shared" si="7"/>
        <v>25.831578947368421</v>
      </c>
      <c r="Q36" s="137"/>
      <c r="R36" s="143">
        <f t="shared" si="9"/>
        <v>0</v>
      </c>
      <c r="S36" s="146"/>
      <c r="T36" s="139"/>
      <c r="U36" s="217"/>
      <c r="V36" s="217">
        <v>18.7</v>
      </c>
      <c r="W36" s="224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62"/>
    </row>
    <row r="37" spans="1:49" x14ac:dyDescent="0.25">
      <c r="A37" s="61" t="s">
        <v>13</v>
      </c>
      <c r="B37" s="6">
        <v>111.1</v>
      </c>
      <c r="C37" s="7">
        <v>1101</v>
      </c>
      <c r="D37" s="9">
        <v>1.1738877088436619E-3</v>
      </c>
      <c r="E37" s="10">
        <v>2311.790000000005</v>
      </c>
      <c r="F37" s="38">
        <f t="shared" si="18"/>
        <v>2.0997184377838374</v>
      </c>
      <c r="G37" s="48">
        <f t="shared" si="19"/>
        <v>3.7240987410449124E-3</v>
      </c>
      <c r="H37" s="13">
        <f t="shared" si="20"/>
        <v>1</v>
      </c>
      <c r="I37" s="14">
        <f t="shared" si="21"/>
        <v>2.0997184377838374</v>
      </c>
      <c r="J37" s="15">
        <v>1.3473684210526318</v>
      </c>
      <c r="K37" s="15">
        <f t="shared" si="4"/>
        <v>1.3473684210526318</v>
      </c>
      <c r="L37" s="15">
        <v>3.3368421052631581</v>
      </c>
      <c r="M37" s="15">
        <f t="shared" si="5"/>
        <v>3.3368421052631581</v>
      </c>
      <c r="N37" s="16">
        <f t="shared" ref="N37:N45" si="22">L37/J37</f>
        <v>2.4765624999999996</v>
      </c>
      <c r="O37" s="15">
        <f t="shared" si="17"/>
        <v>2.3421052631578947</v>
      </c>
      <c r="P37" s="102">
        <f t="shared" si="7"/>
        <v>2.3421052631578947</v>
      </c>
      <c r="Q37" s="134"/>
      <c r="R37" s="131">
        <f t="shared" si="9"/>
        <v>1.3473684210526318</v>
      </c>
      <c r="S37" s="122">
        <f>12.7/3</f>
        <v>4.2333333333333334</v>
      </c>
      <c r="T37" s="142">
        <v>4.0999999999999996</v>
      </c>
      <c r="U37" s="217"/>
      <c r="V37" s="216">
        <v>2.52</v>
      </c>
      <c r="W37" s="224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62"/>
    </row>
    <row r="38" spans="1:49" x14ac:dyDescent="0.25">
      <c r="A38" s="61" t="s">
        <v>36</v>
      </c>
      <c r="B38" s="6">
        <v>108.2</v>
      </c>
      <c r="C38" s="7">
        <v>1082</v>
      </c>
      <c r="D38" s="9">
        <v>8.7611697344996669E-3</v>
      </c>
      <c r="E38" s="10">
        <v>17420.200000000012</v>
      </c>
      <c r="F38" s="38">
        <f t="shared" si="18"/>
        <v>16.100000000000012</v>
      </c>
      <c r="G38" s="48">
        <f t="shared" si="19"/>
        <v>3.659831823624519E-3</v>
      </c>
      <c r="H38" s="13">
        <f t="shared" si="20"/>
        <v>1</v>
      </c>
      <c r="I38" s="14">
        <f t="shared" si="21"/>
        <v>16.100000000000012</v>
      </c>
      <c r="J38" s="15">
        <v>16.494736842105265</v>
      </c>
      <c r="K38" s="15">
        <f t="shared" si="4"/>
        <v>16.494736842105265</v>
      </c>
      <c r="L38" s="15">
        <v>18.589473684210528</v>
      </c>
      <c r="M38" s="15">
        <f t="shared" si="5"/>
        <v>18.589473684210528</v>
      </c>
      <c r="N38" s="16">
        <f t="shared" si="22"/>
        <v>1.1269942565411615</v>
      </c>
      <c r="O38" s="15">
        <f t="shared" si="17"/>
        <v>17.542105263157897</v>
      </c>
      <c r="P38" s="102">
        <f t="shared" si="7"/>
        <v>17.542105263157897</v>
      </c>
      <c r="Q38" s="134"/>
      <c r="R38" s="131">
        <f t="shared" si="9"/>
        <v>16.494736842105265</v>
      </c>
      <c r="S38" s="146">
        <v>31</v>
      </c>
      <c r="T38" s="139"/>
      <c r="U38" s="219">
        <v>21.82</v>
      </c>
      <c r="V38" s="216">
        <v>22.01</v>
      </c>
      <c r="W38" s="224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62"/>
    </row>
    <row r="39" spans="1:49" x14ac:dyDescent="0.25">
      <c r="A39" s="61" t="s">
        <v>40</v>
      </c>
      <c r="B39" s="6">
        <v>100.3</v>
      </c>
      <c r="C39" s="7">
        <v>1003</v>
      </c>
      <c r="D39" s="9">
        <v>4.4386382663183484E-3</v>
      </c>
      <c r="E39" s="10">
        <v>8825.5300000000097</v>
      </c>
      <c r="F39" s="38">
        <f t="shared" si="18"/>
        <v>8.7991326021934295</v>
      </c>
      <c r="G39" s="48">
        <f t="shared" si="19"/>
        <v>3.392616745929198E-3</v>
      </c>
      <c r="H39" s="13">
        <f t="shared" si="20"/>
        <v>1</v>
      </c>
      <c r="I39" s="14">
        <f t="shared" si="21"/>
        <v>8.7991326021934295</v>
      </c>
      <c r="J39" s="15">
        <v>14.210526315789474</v>
      </c>
      <c r="K39" s="15">
        <f t="shared" si="4"/>
        <v>14.210526315789474</v>
      </c>
      <c r="L39" s="15">
        <v>8.5157894736842099</v>
      </c>
      <c r="M39" s="15">
        <f t="shared" si="5"/>
        <v>8.5157894736842099</v>
      </c>
      <c r="N39" s="17">
        <f t="shared" si="22"/>
        <v>0.59925925925925916</v>
      </c>
      <c r="O39" s="15">
        <f t="shared" si="17"/>
        <v>11.363157894736842</v>
      </c>
      <c r="P39" s="102">
        <f t="shared" si="7"/>
        <v>11.363157894736842</v>
      </c>
      <c r="Q39" s="134"/>
      <c r="R39" s="131">
        <f t="shared" si="9"/>
        <v>14.210526315789474</v>
      </c>
      <c r="S39" s="122">
        <v>8.99</v>
      </c>
      <c r="T39" s="142">
        <v>8.73</v>
      </c>
      <c r="U39" s="219">
        <v>8.3800000000000008</v>
      </c>
      <c r="V39" s="216">
        <v>7.84</v>
      </c>
      <c r="W39" s="224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62"/>
    </row>
    <row r="40" spans="1:49" ht="15.75" thickBot="1" x14ac:dyDescent="0.3">
      <c r="A40" s="63" t="s">
        <v>38</v>
      </c>
      <c r="B40" s="64">
        <v>104.7777777777778</v>
      </c>
      <c r="C40" s="65">
        <v>943</v>
      </c>
      <c r="D40" s="66">
        <v>4.7201844270438366E-3</v>
      </c>
      <c r="E40" s="67">
        <v>9385.3399999999983</v>
      </c>
      <c r="F40" s="71">
        <f t="shared" si="18"/>
        <v>9.9526405090137846</v>
      </c>
      <c r="G40" s="49">
        <f t="shared" si="19"/>
        <v>3.1896685856542708E-3</v>
      </c>
      <c r="H40" s="50">
        <f t="shared" si="20"/>
        <v>1</v>
      </c>
      <c r="I40" s="51">
        <f t="shared" si="21"/>
        <v>9.9526405090137846</v>
      </c>
      <c r="J40" s="52">
        <v>55.515789473684215</v>
      </c>
      <c r="K40" s="52">
        <f t="shared" si="4"/>
        <v>55.515789473684215</v>
      </c>
      <c r="L40" s="52">
        <v>12.147368421052631</v>
      </c>
      <c r="M40" s="52">
        <f t="shared" si="5"/>
        <v>12.147368421052631</v>
      </c>
      <c r="N40" s="68">
        <f t="shared" si="22"/>
        <v>0.21880925293894574</v>
      </c>
      <c r="O40" s="52">
        <f t="shared" si="17"/>
        <v>33.831578947368421</v>
      </c>
      <c r="P40" s="103">
        <f t="shared" si="7"/>
        <v>33.831578947368421</v>
      </c>
      <c r="Q40" s="138"/>
      <c r="R40" s="144">
        <f t="shared" si="9"/>
        <v>55.515789473684215</v>
      </c>
      <c r="S40" s="147">
        <v>12.9</v>
      </c>
      <c r="T40" s="140"/>
      <c r="U40" s="218"/>
      <c r="V40" s="218"/>
      <c r="W40" s="74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9"/>
    </row>
    <row r="41" spans="1:49" ht="15.75" thickBot="1" x14ac:dyDescent="0.3">
      <c r="A41" s="53" t="s">
        <v>49</v>
      </c>
      <c r="B41" s="54">
        <v>91.3</v>
      </c>
      <c r="C41" s="55">
        <v>913</v>
      </c>
      <c r="D41" s="56">
        <v>5.6478720107379821E-4</v>
      </c>
      <c r="E41" s="57">
        <v>1122.99</v>
      </c>
      <c r="F41" s="58">
        <f t="shared" si="18"/>
        <v>1.23</v>
      </c>
      <c r="G41" s="39">
        <f t="shared" si="19"/>
        <v>3.0881945055168075E-3</v>
      </c>
      <c r="H41" s="40">
        <f t="shared" si="20"/>
        <v>1</v>
      </c>
      <c r="I41" s="41">
        <f t="shared" si="21"/>
        <v>1.23</v>
      </c>
      <c r="J41" s="42">
        <v>1.2210526315789474</v>
      </c>
      <c r="K41" s="42"/>
      <c r="L41" s="42">
        <v>2.0421052631578949</v>
      </c>
      <c r="M41" s="42"/>
      <c r="N41" s="43">
        <f t="shared" si="22"/>
        <v>1.6724137931034484</v>
      </c>
      <c r="O41" s="52">
        <f t="shared" si="17"/>
        <v>1.6315789473684212</v>
      </c>
      <c r="P41" s="103">
        <f t="shared" ref="P41:P58" si="23">O41*H41</f>
        <v>1.6315789473684212</v>
      </c>
      <c r="Q41" s="55"/>
      <c r="R41" s="132">
        <f t="shared" si="9"/>
        <v>0</v>
      </c>
      <c r="S41" s="72"/>
      <c r="T41" s="72"/>
      <c r="U41" s="72"/>
      <c r="V41" s="72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</row>
    <row r="42" spans="1:49" ht="15.75" thickBot="1" x14ac:dyDescent="0.3">
      <c r="A42" s="18" t="s">
        <v>4</v>
      </c>
      <c r="B42" s="6">
        <v>90.8</v>
      </c>
      <c r="C42" s="7">
        <v>908</v>
      </c>
      <c r="D42" s="9">
        <v>3.1503436682768578E-3</v>
      </c>
      <c r="E42" s="10">
        <v>6263.9600000000009</v>
      </c>
      <c r="F42" s="11">
        <f t="shared" si="18"/>
        <v>6.8986343612334808</v>
      </c>
      <c r="G42" s="12">
        <f t="shared" si="19"/>
        <v>3.0712821588272303E-3</v>
      </c>
      <c r="H42" s="13">
        <f t="shared" si="20"/>
        <v>1</v>
      </c>
      <c r="I42" s="14">
        <f t="shared" si="21"/>
        <v>6.8986343612334808</v>
      </c>
      <c r="J42" s="15">
        <v>8.2200000000000006</v>
      </c>
      <c r="K42" s="42"/>
      <c r="L42" s="15">
        <v>6.5789473684210531</v>
      </c>
      <c r="M42" s="42"/>
      <c r="N42" s="17">
        <f t="shared" si="22"/>
        <v>0.80035856063516453</v>
      </c>
      <c r="O42" s="52">
        <f t="shared" si="17"/>
        <v>7.3994736842105269</v>
      </c>
      <c r="P42" s="103">
        <f t="shared" si="23"/>
        <v>7.3994736842105269</v>
      </c>
      <c r="Q42" s="7"/>
      <c r="R42" s="131">
        <f t="shared" si="9"/>
        <v>0</v>
      </c>
      <c r="S42" s="20"/>
      <c r="T42" s="20"/>
      <c r="U42" s="20"/>
      <c r="V42" s="20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</row>
    <row r="43" spans="1:49" ht="30.75" thickBot="1" x14ac:dyDescent="0.3">
      <c r="A43" s="18" t="s">
        <v>53</v>
      </c>
      <c r="B43" s="6">
        <v>87.6</v>
      </c>
      <c r="C43" s="7">
        <v>876</v>
      </c>
      <c r="D43" s="9">
        <v>3.048303868077511E-3</v>
      </c>
      <c r="E43" s="10">
        <v>6061.0699999999979</v>
      </c>
      <c r="F43" s="11">
        <f t="shared" si="18"/>
        <v>6.919029680365294</v>
      </c>
      <c r="G43" s="12">
        <f t="shared" si="19"/>
        <v>2.9630431400139356E-3</v>
      </c>
      <c r="H43" s="13">
        <f t="shared" si="20"/>
        <v>1</v>
      </c>
      <c r="I43" s="14">
        <f t="shared" si="21"/>
        <v>6.919029680365294</v>
      </c>
      <c r="J43" s="15">
        <v>6.9684210526315793</v>
      </c>
      <c r="K43" s="42"/>
      <c r="L43" s="15">
        <v>8.5578947368421066</v>
      </c>
      <c r="M43" s="42"/>
      <c r="N43" s="16">
        <f t="shared" si="22"/>
        <v>1.2280966767371602</v>
      </c>
      <c r="O43" s="52">
        <f t="shared" si="17"/>
        <v>7.7631578947368425</v>
      </c>
      <c r="P43" s="103">
        <f t="shared" si="23"/>
        <v>7.7631578947368425</v>
      </c>
      <c r="Q43" s="7"/>
      <c r="R43" s="131">
        <f t="shared" si="9"/>
        <v>0</v>
      </c>
      <c r="S43" s="20"/>
      <c r="T43" s="20"/>
      <c r="U43" s="20"/>
      <c r="V43" s="20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</row>
    <row r="44" spans="1:49" ht="30.75" thickBot="1" x14ac:dyDescent="0.3">
      <c r="A44" s="18" t="s">
        <v>50</v>
      </c>
      <c r="B44" s="6">
        <v>83.4</v>
      </c>
      <c r="C44" s="7">
        <v>834</v>
      </c>
      <c r="D44" s="9">
        <v>5.080313656334308E-4</v>
      </c>
      <c r="E44" s="10">
        <v>1010.14</v>
      </c>
      <c r="F44" s="11">
        <f t="shared" si="18"/>
        <v>1.211199040767386</v>
      </c>
      <c r="G44" s="12">
        <f t="shared" si="19"/>
        <v>2.8209794278214869E-3</v>
      </c>
      <c r="H44" s="13">
        <f t="shared" si="20"/>
        <v>1</v>
      </c>
      <c r="I44" s="14">
        <f t="shared" si="21"/>
        <v>1.211199040767386</v>
      </c>
      <c r="J44" s="15">
        <v>1.2</v>
      </c>
      <c r="K44" s="42"/>
      <c r="L44" s="15">
        <v>2.1052631578947367</v>
      </c>
      <c r="M44" s="42"/>
      <c r="N44" s="16">
        <f t="shared" si="22"/>
        <v>1.7543859649122806</v>
      </c>
      <c r="O44" s="52">
        <f t="shared" si="17"/>
        <v>1.6526315789473682</v>
      </c>
      <c r="P44" s="103">
        <f t="shared" si="23"/>
        <v>1.6526315789473682</v>
      </c>
      <c r="Q44" s="7"/>
      <c r="R44" s="131">
        <f t="shared" si="9"/>
        <v>0</v>
      </c>
      <c r="S44" s="20"/>
      <c r="T44" s="20"/>
      <c r="U44" s="20"/>
      <c r="V44" s="20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</row>
    <row r="45" spans="1:49" ht="15.75" thickBot="1" x14ac:dyDescent="0.3">
      <c r="A45" s="18" t="s">
        <v>28</v>
      </c>
      <c r="B45" s="6">
        <v>119.4285714285714</v>
      </c>
      <c r="C45" s="7">
        <v>832</v>
      </c>
      <c r="D45" s="9">
        <v>2.0181640802401919E-3</v>
      </c>
      <c r="E45" s="10">
        <v>3993.599999999994</v>
      </c>
      <c r="F45" s="11">
        <f t="shared" si="18"/>
        <v>4.7999999999999927</v>
      </c>
      <c r="G45" s="12">
        <f t="shared" si="19"/>
        <v>2.814214489145656E-3</v>
      </c>
      <c r="H45" s="13">
        <f t="shared" si="20"/>
        <v>1</v>
      </c>
      <c r="I45" s="14">
        <f t="shared" si="21"/>
        <v>4.7999999999999927</v>
      </c>
      <c r="J45" s="15">
        <v>6.9473684210526319</v>
      </c>
      <c r="K45" s="42"/>
      <c r="L45" s="15">
        <v>6.4526315789473685</v>
      </c>
      <c r="M45" s="42"/>
      <c r="N45" s="17">
        <f t="shared" si="22"/>
        <v>0.92878787878787872</v>
      </c>
      <c r="O45" s="52">
        <f t="shared" si="17"/>
        <v>6.7</v>
      </c>
      <c r="P45" s="103">
        <f t="shared" si="23"/>
        <v>6.7</v>
      </c>
      <c r="Q45" s="7"/>
      <c r="R45" s="131">
        <f t="shared" si="9"/>
        <v>0</v>
      </c>
      <c r="S45" s="20"/>
      <c r="T45" s="20"/>
      <c r="U45" s="20"/>
      <c r="V45" s="20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</row>
    <row r="46" spans="1:49" ht="15.75" thickBot="1" x14ac:dyDescent="0.3">
      <c r="A46" s="18" t="s">
        <v>43</v>
      </c>
      <c r="B46" s="6">
        <v>67.7</v>
      </c>
      <c r="C46" s="7">
        <v>677</v>
      </c>
      <c r="D46" s="9">
        <v>2.2125823638572328E-3</v>
      </c>
      <c r="E46" s="10">
        <v>4399.3699999999981</v>
      </c>
      <c r="F46" s="11">
        <f t="shared" si="18"/>
        <v>6.4983308714918735</v>
      </c>
      <c r="G46" s="12">
        <f t="shared" si="19"/>
        <v>2.2899317417687608E-3</v>
      </c>
      <c r="H46" s="13">
        <f t="shared" si="20"/>
        <v>1</v>
      </c>
      <c r="I46" s="14">
        <f t="shared" si="21"/>
        <v>6.4983308714918735</v>
      </c>
      <c r="J46" s="24">
        <v>0</v>
      </c>
      <c r="K46" s="42"/>
      <c r="L46" s="24">
        <v>7.5578947368421057</v>
      </c>
      <c r="M46" s="42"/>
      <c r="N46" s="36"/>
      <c r="O46" s="52">
        <f t="shared" si="17"/>
        <v>3.7789473684210528</v>
      </c>
      <c r="P46" s="103">
        <f t="shared" si="23"/>
        <v>3.7789473684210528</v>
      </c>
      <c r="Q46" s="7"/>
      <c r="R46" s="131">
        <f t="shared" si="9"/>
        <v>0</v>
      </c>
      <c r="S46" s="20"/>
      <c r="T46" s="20"/>
      <c r="U46" s="20"/>
      <c r="V46" s="20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</row>
    <row r="47" spans="1:49" ht="30.75" thickBot="1" x14ac:dyDescent="0.3">
      <c r="A47" s="18" t="s">
        <v>32</v>
      </c>
      <c r="B47" s="6">
        <v>50.7</v>
      </c>
      <c r="C47" s="7">
        <v>507</v>
      </c>
      <c r="D47" s="9">
        <v>2.7342230596370211E-3</v>
      </c>
      <c r="E47" s="10">
        <v>5436.5700000000024</v>
      </c>
      <c r="F47" s="11">
        <f t="shared" si="18"/>
        <v>10.723017751479295</v>
      </c>
      <c r="G47" s="12">
        <f t="shared" si="19"/>
        <v>1.7149119543231341E-3</v>
      </c>
      <c r="H47" s="13">
        <f t="shared" si="20"/>
        <v>1</v>
      </c>
      <c r="I47" s="14">
        <f t="shared" si="21"/>
        <v>10.723017751479295</v>
      </c>
      <c r="J47" s="15">
        <v>8.1263157894736846</v>
      </c>
      <c r="K47" s="42"/>
      <c r="L47" s="15">
        <v>15.315789473684212</v>
      </c>
      <c r="M47" s="42"/>
      <c r="N47" s="16">
        <f t="shared" ref="N47:N58" si="24">L47/J47</f>
        <v>1.8847150259067358</v>
      </c>
      <c r="O47" s="52">
        <f t="shared" si="17"/>
        <v>11.721052631578949</v>
      </c>
      <c r="P47" s="103">
        <f t="shared" si="23"/>
        <v>11.721052631578949</v>
      </c>
      <c r="Q47" s="7"/>
      <c r="R47" s="131">
        <f t="shared" si="9"/>
        <v>0</v>
      </c>
      <c r="S47" s="20"/>
      <c r="T47" s="20"/>
      <c r="U47" s="20"/>
      <c r="V47" s="20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</row>
    <row r="48" spans="1:49" ht="15.75" thickBot="1" x14ac:dyDescent="0.3">
      <c r="A48" s="18" t="s">
        <v>35</v>
      </c>
      <c r="B48" s="6">
        <v>65.714285714285708</v>
      </c>
      <c r="C48" s="7">
        <v>460</v>
      </c>
      <c r="D48" s="9">
        <v>4.1411391140096102E-3</v>
      </c>
      <c r="E48" s="10">
        <v>8233.9999999999982</v>
      </c>
      <c r="F48" s="11">
        <f t="shared" si="18"/>
        <v>17.899999999999995</v>
      </c>
      <c r="G48" s="12">
        <f t="shared" si="19"/>
        <v>1.5559358954411078E-3</v>
      </c>
      <c r="H48" s="13">
        <f t="shared" si="20"/>
        <v>1</v>
      </c>
      <c r="I48" s="14">
        <f t="shared" si="21"/>
        <v>17.899999999999995</v>
      </c>
      <c r="J48" s="15">
        <v>18.842105263157894</v>
      </c>
      <c r="K48" s="42"/>
      <c r="L48" s="15">
        <v>23.989473684210527</v>
      </c>
      <c r="M48" s="42"/>
      <c r="N48" s="16">
        <f t="shared" si="24"/>
        <v>1.2731843575418995</v>
      </c>
      <c r="O48" s="52">
        <f t="shared" si="17"/>
        <v>21.41578947368421</v>
      </c>
      <c r="P48" s="103">
        <f t="shared" si="23"/>
        <v>21.41578947368421</v>
      </c>
      <c r="Q48" s="7"/>
      <c r="R48" s="131">
        <f t="shared" si="9"/>
        <v>0</v>
      </c>
      <c r="S48" s="20"/>
      <c r="T48" s="20"/>
      <c r="U48" s="20"/>
      <c r="V48" s="20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</row>
    <row r="49" spans="1:49" ht="30.75" thickBot="1" x14ac:dyDescent="0.3">
      <c r="A49" s="18" t="s">
        <v>1</v>
      </c>
      <c r="B49" s="6">
        <v>69.666666666666671</v>
      </c>
      <c r="C49" s="7">
        <v>418</v>
      </c>
      <c r="D49" s="9">
        <v>7.9885661509507717E-3</v>
      </c>
      <c r="E49" s="10">
        <v>15884</v>
      </c>
      <c r="F49" s="11">
        <f t="shared" si="18"/>
        <v>38</v>
      </c>
      <c r="G49" s="12">
        <f t="shared" si="19"/>
        <v>1.4138721832486589E-3</v>
      </c>
      <c r="H49" s="13">
        <f t="shared" si="20"/>
        <v>1</v>
      </c>
      <c r="I49" s="14">
        <f t="shared" si="21"/>
        <v>38</v>
      </c>
      <c r="J49" s="15">
        <v>39</v>
      </c>
      <c r="K49" s="42"/>
      <c r="L49" s="15">
        <v>49.726315789473688</v>
      </c>
      <c r="M49" s="42"/>
      <c r="N49" s="16">
        <f t="shared" si="24"/>
        <v>1.275033738191633</v>
      </c>
      <c r="O49" s="52">
        <f t="shared" si="17"/>
        <v>44.363157894736844</v>
      </c>
      <c r="P49" s="103">
        <f t="shared" si="23"/>
        <v>44.363157894736844</v>
      </c>
      <c r="Q49" s="7"/>
      <c r="R49" s="131">
        <f t="shared" si="9"/>
        <v>0</v>
      </c>
      <c r="S49" s="20"/>
      <c r="T49" s="20"/>
      <c r="U49" s="20"/>
      <c r="V49" s="20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</row>
    <row r="50" spans="1:49" ht="15.75" thickBot="1" x14ac:dyDescent="0.3">
      <c r="A50" s="18" t="s">
        <v>39</v>
      </c>
      <c r="B50" s="6">
        <v>40.9</v>
      </c>
      <c r="C50" s="7">
        <v>406</v>
      </c>
      <c r="D50" s="9">
        <v>2.3449690591427239E-4</v>
      </c>
      <c r="E50" s="10">
        <v>462.83999999999958</v>
      </c>
      <c r="F50" s="11">
        <f t="shared" si="18"/>
        <v>1.139999999999999</v>
      </c>
      <c r="G50" s="12">
        <f t="shared" si="19"/>
        <v>1.3732825511936734E-3</v>
      </c>
      <c r="H50" s="13">
        <f t="shared" si="20"/>
        <v>1</v>
      </c>
      <c r="I50" s="14">
        <f t="shared" si="21"/>
        <v>1.139999999999999</v>
      </c>
      <c r="J50" s="15">
        <v>1.168421052631579</v>
      </c>
      <c r="K50" s="42"/>
      <c r="L50" s="15">
        <v>1.6105263157894738</v>
      </c>
      <c r="M50" s="42"/>
      <c r="N50" s="16">
        <f t="shared" si="24"/>
        <v>1.3783783783783783</v>
      </c>
      <c r="O50" s="52">
        <f t="shared" si="17"/>
        <v>1.3894736842105264</v>
      </c>
      <c r="P50" s="103">
        <f t="shared" si="23"/>
        <v>1.3894736842105264</v>
      </c>
      <c r="Q50" s="7"/>
      <c r="R50" s="131">
        <f t="shared" si="9"/>
        <v>0</v>
      </c>
      <c r="S50" s="20"/>
      <c r="T50" s="20"/>
      <c r="U50" s="20"/>
      <c r="V50" s="20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</row>
    <row r="51" spans="1:49" ht="15.75" thickBot="1" x14ac:dyDescent="0.3">
      <c r="A51" s="18" t="s">
        <v>20</v>
      </c>
      <c r="B51" s="6">
        <v>39.299999999999997</v>
      </c>
      <c r="C51" s="7">
        <v>393</v>
      </c>
      <c r="D51" s="9">
        <v>7.3827346988332139E-4</v>
      </c>
      <c r="E51" s="10">
        <v>1467.94</v>
      </c>
      <c r="F51" s="11">
        <f t="shared" si="18"/>
        <v>3.7352162849872776</v>
      </c>
      <c r="G51" s="12">
        <f t="shared" si="19"/>
        <v>1.3293104498007726E-3</v>
      </c>
      <c r="H51" s="13">
        <f t="shared" si="20"/>
        <v>1</v>
      </c>
      <c r="I51" s="14">
        <f t="shared" si="21"/>
        <v>3.7352162849872776</v>
      </c>
      <c r="J51" s="15">
        <v>3.1052631578947372</v>
      </c>
      <c r="K51" s="42"/>
      <c r="L51" s="15">
        <v>4.7368421052631584</v>
      </c>
      <c r="M51" s="42"/>
      <c r="N51" s="16">
        <f t="shared" si="24"/>
        <v>1.5254237288135593</v>
      </c>
      <c r="O51" s="52">
        <f t="shared" si="17"/>
        <v>3.9210526315789478</v>
      </c>
      <c r="P51" s="103">
        <f t="shared" si="23"/>
        <v>3.9210526315789478</v>
      </c>
      <c r="Q51" s="7"/>
      <c r="R51" s="131">
        <f t="shared" si="9"/>
        <v>0</v>
      </c>
      <c r="S51" s="20"/>
      <c r="T51" s="20"/>
      <c r="U51" s="20"/>
      <c r="V51" s="20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</row>
    <row r="52" spans="1:49" ht="15.75" thickBot="1" x14ac:dyDescent="0.3">
      <c r="A52" s="18" t="s">
        <v>34</v>
      </c>
      <c r="B52" s="6">
        <v>39.299999999999997</v>
      </c>
      <c r="C52" s="7">
        <v>393</v>
      </c>
      <c r="D52" s="9">
        <v>1.7610805144267041E-3</v>
      </c>
      <c r="E52" s="10">
        <v>3501.630000000001</v>
      </c>
      <c r="F52" s="11">
        <f t="shared" si="18"/>
        <v>8.9100000000000019</v>
      </c>
      <c r="G52" s="12">
        <f t="shared" si="19"/>
        <v>1.3293104498007726E-3</v>
      </c>
      <c r="H52" s="13">
        <f t="shared" si="20"/>
        <v>1</v>
      </c>
      <c r="I52" s="14">
        <f t="shared" si="21"/>
        <v>8.9100000000000019</v>
      </c>
      <c r="J52" s="15">
        <v>13.736842105263159</v>
      </c>
      <c r="K52" s="42"/>
      <c r="L52" s="15">
        <v>14.663157894736843</v>
      </c>
      <c r="M52" s="42"/>
      <c r="N52" s="16">
        <f t="shared" si="24"/>
        <v>1.0674329501915709</v>
      </c>
      <c r="O52" s="52">
        <f t="shared" si="17"/>
        <v>14.200000000000001</v>
      </c>
      <c r="P52" s="103">
        <f t="shared" si="23"/>
        <v>14.200000000000001</v>
      </c>
      <c r="Q52" s="7"/>
      <c r="R52" s="131">
        <f t="shared" si="9"/>
        <v>0</v>
      </c>
      <c r="S52" s="20"/>
      <c r="T52" s="20"/>
      <c r="U52" s="20"/>
      <c r="V52" s="20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</row>
    <row r="53" spans="1:49" ht="15.75" thickBot="1" x14ac:dyDescent="0.3">
      <c r="A53" s="18" t="s">
        <v>14</v>
      </c>
      <c r="B53" s="6">
        <v>39</v>
      </c>
      <c r="C53" s="7">
        <v>380</v>
      </c>
      <c r="D53" s="9">
        <v>5.0463154775503552E-4</v>
      </c>
      <c r="E53" s="10">
        <v>974.07999999999993</v>
      </c>
      <c r="F53" s="11">
        <f t="shared" si="18"/>
        <v>2.5633684210526315</v>
      </c>
      <c r="G53" s="12">
        <f t="shared" si="19"/>
        <v>1.2853383484078716E-3</v>
      </c>
      <c r="H53" s="13">
        <f t="shared" si="20"/>
        <v>1</v>
      </c>
      <c r="I53" s="14">
        <f t="shared" si="21"/>
        <v>2.5633684210526315</v>
      </c>
      <c r="J53" s="15">
        <v>1.7157894736842105</v>
      </c>
      <c r="K53" s="42"/>
      <c r="L53" s="15">
        <v>4.4631578947368427</v>
      </c>
      <c r="M53" s="42"/>
      <c r="N53" s="16">
        <f t="shared" si="24"/>
        <v>2.6012269938650312</v>
      </c>
      <c r="O53" s="52">
        <f t="shared" si="17"/>
        <v>3.0894736842105264</v>
      </c>
      <c r="P53" s="103">
        <f t="shared" si="23"/>
        <v>3.0894736842105264</v>
      </c>
      <c r="Q53" s="7"/>
      <c r="R53" s="131">
        <f t="shared" si="9"/>
        <v>0</v>
      </c>
      <c r="S53" s="20"/>
      <c r="T53" s="20"/>
      <c r="U53" s="20"/>
      <c r="V53" s="20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</row>
    <row r="54" spans="1:49" ht="15.75" thickBot="1" x14ac:dyDescent="0.3">
      <c r="A54" s="18" t="s">
        <v>3</v>
      </c>
      <c r="B54" s="6">
        <v>37.299999999999997</v>
      </c>
      <c r="C54" s="7">
        <v>373</v>
      </c>
      <c r="D54" s="9">
        <v>2.1678667118501188E-3</v>
      </c>
      <c r="E54" s="10">
        <v>4310.4600000000037</v>
      </c>
      <c r="F54" s="11">
        <f t="shared" si="18"/>
        <v>11.556193029490627</v>
      </c>
      <c r="G54" s="12">
        <f t="shared" si="19"/>
        <v>1.2616610630424635E-3</v>
      </c>
      <c r="H54" s="13">
        <f t="shared" si="20"/>
        <v>1</v>
      </c>
      <c r="I54" s="14">
        <f t="shared" si="21"/>
        <v>11.556193029490627</v>
      </c>
      <c r="J54" s="15">
        <v>5.1684210526315795</v>
      </c>
      <c r="K54" s="42"/>
      <c r="L54" s="15">
        <v>7.6842105263157894</v>
      </c>
      <c r="M54" s="42"/>
      <c r="N54" s="16">
        <f t="shared" si="24"/>
        <v>1.4867617107942972</v>
      </c>
      <c r="O54" s="52">
        <f t="shared" si="17"/>
        <v>6.4263157894736844</v>
      </c>
      <c r="P54" s="103">
        <f t="shared" si="23"/>
        <v>6.4263157894736844</v>
      </c>
      <c r="Q54" s="7"/>
      <c r="R54" s="131">
        <f t="shared" si="9"/>
        <v>0</v>
      </c>
      <c r="S54" s="20"/>
      <c r="T54" s="20"/>
      <c r="U54" s="20"/>
      <c r="V54" s="20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</row>
    <row r="55" spans="1:49" ht="15.75" thickBot="1" x14ac:dyDescent="0.3">
      <c r="A55" s="18" t="s">
        <v>54</v>
      </c>
      <c r="B55" s="6">
        <v>62</v>
      </c>
      <c r="C55" s="7">
        <v>372</v>
      </c>
      <c r="D55" s="9">
        <v>6.8100967348774983E-4</v>
      </c>
      <c r="E55" s="10">
        <v>1354.08</v>
      </c>
      <c r="F55" s="11">
        <f t="shared" si="18"/>
        <v>3.6399999999999997</v>
      </c>
      <c r="G55" s="12">
        <f t="shared" si="19"/>
        <v>1.258278593704548E-3</v>
      </c>
      <c r="H55" s="13">
        <f t="shared" si="20"/>
        <v>1</v>
      </c>
      <c r="I55" s="14">
        <f t="shared" si="21"/>
        <v>3.6399999999999997</v>
      </c>
      <c r="J55" s="15">
        <v>2.9052631578947365</v>
      </c>
      <c r="K55" s="42"/>
      <c r="L55" s="15">
        <v>4.9263157894736844</v>
      </c>
      <c r="M55" s="42"/>
      <c r="N55" s="16">
        <f t="shared" si="24"/>
        <v>1.6956521739130437</v>
      </c>
      <c r="O55" s="52">
        <f t="shared" si="17"/>
        <v>3.9157894736842103</v>
      </c>
      <c r="P55" s="103">
        <f t="shared" si="23"/>
        <v>3.9157894736842103</v>
      </c>
      <c r="Q55" s="7"/>
      <c r="R55" s="131">
        <f t="shared" si="9"/>
        <v>0</v>
      </c>
      <c r="S55" s="20"/>
      <c r="T55" s="20"/>
      <c r="U55" s="20"/>
      <c r="V55" s="20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</row>
    <row r="56" spans="1:49" ht="15.75" thickBot="1" x14ac:dyDescent="0.3">
      <c r="A56" s="18" t="s">
        <v>24</v>
      </c>
      <c r="B56" s="6">
        <v>48.5</v>
      </c>
      <c r="C56" s="7">
        <v>291</v>
      </c>
      <c r="D56" s="9">
        <v>3.7702773235468118E-4</v>
      </c>
      <c r="E56" s="10">
        <v>749.65999999999985</v>
      </c>
      <c r="F56" s="11">
        <f t="shared" si="18"/>
        <v>2.5761512027491404</v>
      </c>
      <c r="G56" s="12">
        <f t="shared" si="19"/>
        <v>9.8429857733339657E-4</v>
      </c>
      <c r="H56" s="13">
        <f t="shared" si="20"/>
        <v>1</v>
      </c>
      <c r="I56" s="14">
        <f t="shared" si="21"/>
        <v>2.5761512027491404</v>
      </c>
      <c r="J56" s="15">
        <v>1.4736842105263157</v>
      </c>
      <c r="K56" s="42"/>
      <c r="L56" s="15">
        <v>4.1368421052631579</v>
      </c>
      <c r="M56" s="42"/>
      <c r="N56" s="16">
        <f t="shared" si="24"/>
        <v>2.8071428571428574</v>
      </c>
      <c r="O56" s="52">
        <f t="shared" si="17"/>
        <v>2.8052631578947369</v>
      </c>
      <c r="P56" s="103">
        <f t="shared" si="23"/>
        <v>2.8052631578947369</v>
      </c>
      <c r="Q56" s="7"/>
      <c r="R56" s="131">
        <f t="shared" si="9"/>
        <v>0</v>
      </c>
      <c r="S56" s="20"/>
      <c r="T56" s="20"/>
      <c r="U56" s="20"/>
      <c r="V56" s="20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</row>
    <row r="57" spans="1:49" ht="15.75" thickBot="1" x14ac:dyDescent="0.3">
      <c r="A57" s="18" t="s">
        <v>37</v>
      </c>
      <c r="B57" s="6">
        <v>36.571428571428569</v>
      </c>
      <c r="C57" s="7">
        <v>256</v>
      </c>
      <c r="D57" s="9">
        <v>2.049707952626724E-3</v>
      </c>
      <c r="E57" s="10">
        <v>4075.52</v>
      </c>
      <c r="F57" s="11">
        <f t="shared" si="18"/>
        <v>15.92</v>
      </c>
      <c r="G57" s="12">
        <f t="shared" si="19"/>
        <v>8.6591215050635568E-4</v>
      </c>
      <c r="H57" s="13">
        <f t="shared" si="20"/>
        <v>1</v>
      </c>
      <c r="I57" s="14">
        <f t="shared" si="21"/>
        <v>15.92</v>
      </c>
      <c r="J57" s="15">
        <v>16.757894736842108</v>
      </c>
      <c r="K57" s="42"/>
      <c r="L57" s="15">
        <v>22.294736842105262</v>
      </c>
      <c r="M57" s="42"/>
      <c r="N57" s="16">
        <f t="shared" si="24"/>
        <v>1.3304020100502509</v>
      </c>
      <c r="O57" s="52">
        <f t="shared" si="17"/>
        <v>19.526315789473685</v>
      </c>
      <c r="P57" s="103">
        <f t="shared" si="23"/>
        <v>19.526315789473685</v>
      </c>
      <c r="Q57" s="7"/>
      <c r="R57" s="131">
        <f t="shared" si="9"/>
        <v>0</v>
      </c>
      <c r="S57" s="20"/>
      <c r="T57" s="20"/>
      <c r="U57" s="20"/>
      <c r="V57" s="20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</row>
    <row r="58" spans="1:49" ht="15.75" thickBot="1" x14ac:dyDescent="0.3">
      <c r="A58" s="18" t="s">
        <v>29</v>
      </c>
      <c r="B58" s="6">
        <v>30.125</v>
      </c>
      <c r="C58" s="7">
        <v>241</v>
      </c>
      <c r="D58" s="9">
        <v>2.0520264674816651E-3</v>
      </c>
      <c r="E58" s="10">
        <v>4080.1299999999992</v>
      </c>
      <c r="F58" s="11">
        <f t="shared" si="18"/>
        <v>16.929999999999996</v>
      </c>
      <c r="G58" s="12">
        <f t="shared" si="19"/>
        <v>8.151751104376239E-4</v>
      </c>
      <c r="H58" s="13">
        <f t="shared" si="20"/>
        <v>1</v>
      </c>
      <c r="I58" s="14">
        <f t="shared" si="21"/>
        <v>16.929999999999996</v>
      </c>
      <c r="J58" s="15">
        <v>21.421052631578949</v>
      </c>
      <c r="K58" s="42"/>
      <c r="L58" s="15">
        <v>23.052631578947366</v>
      </c>
      <c r="M58" s="42"/>
      <c r="N58" s="16">
        <f t="shared" si="24"/>
        <v>1.0761670761670761</v>
      </c>
      <c r="O58" s="52">
        <f t="shared" si="17"/>
        <v>22.236842105263158</v>
      </c>
      <c r="P58" s="103">
        <f t="shared" si="23"/>
        <v>22.236842105263158</v>
      </c>
      <c r="Q58" s="7"/>
      <c r="R58" s="131">
        <f t="shared" si="9"/>
        <v>0</v>
      </c>
      <c r="S58" s="20"/>
      <c r="T58" s="20"/>
      <c r="U58" s="20"/>
      <c r="V58" s="20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</row>
    <row r="59" spans="1:49" x14ac:dyDescent="0.25">
      <c r="A59" s="25"/>
      <c r="B59" s="26"/>
      <c r="C59" s="27"/>
      <c r="D59" s="28"/>
      <c r="E59" s="29"/>
      <c r="F59" s="30"/>
      <c r="G59" s="31"/>
      <c r="H59" s="32"/>
      <c r="I59" s="79"/>
      <c r="J59" s="33"/>
      <c r="K59" s="33"/>
      <c r="L59" s="33"/>
      <c r="M59" s="33"/>
      <c r="N59" s="34"/>
      <c r="O59" s="33"/>
      <c r="P59" s="27"/>
      <c r="Q59" s="27"/>
      <c r="R59" s="27"/>
      <c r="S59" s="35"/>
      <c r="T59" s="35"/>
      <c r="U59" s="35"/>
      <c r="V59" s="35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</row>
    <row r="60" spans="1:49" x14ac:dyDescent="0.25">
      <c r="A60" s="25"/>
      <c r="B60" s="26"/>
      <c r="C60" s="27"/>
      <c r="D60" s="28"/>
      <c r="E60" s="29"/>
      <c r="F60" s="30"/>
      <c r="G60" s="31"/>
      <c r="H60" s="32"/>
      <c r="I60" s="32"/>
      <c r="J60" s="33"/>
      <c r="K60" s="33"/>
      <c r="L60" s="33"/>
      <c r="M60" s="15" t="s">
        <v>73</v>
      </c>
      <c r="N60" s="16">
        <f>AVERAGE(N47:N58,N37:N45,N28:N35,N3:N26)</f>
        <v>1.8175902984022447</v>
      </c>
      <c r="O60" s="33"/>
      <c r="S60" s="2"/>
      <c r="T60" s="2"/>
      <c r="U60" s="2"/>
      <c r="V60" s="2"/>
      <c r="AA60" s="123"/>
      <c r="AO60" s="123"/>
      <c r="AP60" s="123"/>
      <c r="AQ60" s="123"/>
      <c r="AR60" s="123"/>
      <c r="AS60" s="123"/>
      <c r="AT60" s="123"/>
      <c r="AU60" s="123"/>
      <c r="AV60" s="123"/>
      <c r="AW60" s="27"/>
    </row>
    <row r="61" spans="1:49" x14ac:dyDescent="0.25">
      <c r="A61" s="25"/>
      <c r="B61" s="26"/>
      <c r="C61" s="27"/>
      <c r="D61" s="28"/>
      <c r="E61" s="29"/>
      <c r="F61" s="30"/>
      <c r="G61" s="31"/>
      <c r="H61" s="32"/>
      <c r="I61" s="32"/>
      <c r="J61" s="33"/>
      <c r="K61" s="33"/>
      <c r="L61" s="33"/>
      <c r="M61" s="15" t="s">
        <v>74</v>
      </c>
      <c r="N61" s="37">
        <f>100/182</f>
        <v>0.5494505494505495</v>
      </c>
      <c r="O61" s="33"/>
      <c r="S61" s="2"/>
      <c r="T61" s="2"/>
      <c r="U61" s="2"/>
      <c r="V61" s="2"/>
      <c r="AA61" s="27"/>
      <c r="AO61" s="27"/>
      <c r="AP61" s="27"/>
      <c r="AQ61" s="27"/>
      <c r="AR61" s="27"/>
      <c r="AS61" s="27"/>
      <c r="AT61" s="27"/>
      <c r="AU61" s="27"/>
      <c r="AV61" s="27"/>
      <c r="AW61" s="27"/>
    </row>
    <row r="62" spans="1:49" x14ac:dyDescent="0.25">
      <c r="S62" s="2"/>
      <c r="T62" s="2"/>
      <c r="U62" s="2"/>
      <c r="V62" s="2"/>
      <c r="AA62" s="124"/>
      <c r="AO62" s="124"/>
      <c r="AP62" s="124"/>
      <c r="AQ62" s="124"/>
      <c r="AR62" s="124"/>
      <c r="AS62" s="124"/>
      <c r="AT62" s="124"/>
      <c r="AU62" s="124"/>
      <c r="AV62" s="124"/>
    </row>
    <row r="63" spans="1:49" x14ac:dyDescent="0.25">
      <c r="K63" s="23"/>
      <c r="M63" s="23"/>
      <c r="N63" s="22"/>
      <c r="P63" s="21"/>
      <c r="Q63" s="21"/>
      <c r="R63" s="21"/>
      <c r="W63" s="21"/>
      <c r="X63" s="21"/>
      <c r="Y63" s="21"/>
      <c r="Z63" s="21"/>
      <c r="AA63" s="21"/>
      <c r="AO63" s="21"/>
      <c r="AP63" s="21"/>
      <c r="AQ63" s="21"/>
      <c r="AR63" s="21"/>
      <c r="AS63" s="21"/>
      <c r="AT63" s="21"/>
      <c r="AU63" s="21"/>
      <c r="AV63" s="21"/>
      <c r="AW63" s="23"/>
    </row>
    <row r="65" spans="13:24" x14ac:dyDescent="0.25">
      <c r="M65" s="3"/>
    </row>
    <row r="68" spans="13:24" x14ac:dyDescent="0.25">
      <c r="S68" s="3"/>
      <c r="T68" s="3"/>
      <c r="U68" s="3"/>
      <c r="V68" s="3"/>
    </row>
    <row r="70" spans="13:24" x14ac:dyDescent="0.25">
      <c r="X70" s="3"/>
    </row>
  </sheetData>
  <autoFilter ref="A2:AW58" xr:uid="{00000000-0009-0000-0000-000000000000}">
    <sortState xmlns:xlrd2="http://schemas.microsoft.com/office/spreadsheetml/2017/richdata2" ref="A3:X58">
      <sortCondition descending="1" ref="C2:C58"/>
    </sortState>
  </autoFilter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D8EB2-EACF-4E13-9918-AFAA66504ADE}">
  <dimension ref="A1:O18"/>
  <sheetViews>
    <sheetView topLeftCell="A4" workbookViewId="0">
      <selection activeCell="A13" sqref="A13:B18"/>
    </sheetView>
  </sheetViews>
  <sheetFormatPr defaultRowHeight="15" x14ac:dyDescent="0.25"/>
  <cols>
    <col min="1" max="1" width="19.28515625" style="227" bestFit="1" customWidth="1"/>
    <col min="2" max="2" width="12.85546875" style="227" customWidth="1"/>
    <col min="3" max="3" width="19.140625" style="227" bestFit="1" customWidth="1"/>
    <col min="4" max="4" width="22.28515625" style="227" bestFit="1" customWidth="1"/>
    <col min="5" max="5" width="20.42578125" style="227" bestFit="1" customWidth="1"/>
    <col min="6" max="6" width="12.42578125" style="227" bestFit="1" customWidth="1"/>
    <col min="7" max="7" width="14.42578125" style="227" bestFit="1" customWidth="1"/>
    <col min="8" max="8" width="12.42578125" style="227" bestFit="1" customWidth="1"/>
    <col min="9" max="9" width="21.85546875" style="227" bestFit="1" customWidth="1"/>
    <col min="10" max="16384" width="9.140625" style="227"/>
  </cols>
  <sheetData>
    <row r="1" spans="1:15" ht="30" x14ac:dyDescent="0.25">
      <c r="A1" s="263" t="s">
        <v>76</v>
      </c>
      <c r="B1" s="264" t="s">
        <v>75</v>
      </c>
      <c r="C1" s="264" t="s">
        <v>196</v>
      </c>
      <c r="D1" s="263" t="s">
        <v>77</v>
      </c>
      <c r="E1" s="263" t="s">
        <v>78</v>
      </c>
      <c r="F1" s="263" t="s">
        <v>79</v>
      </c>
      <c r="G1" s="263" t="s">
        <v>214</v>
      </c>
      <c r="H1" s="263" t="s">
        <v>80</v>
      </c>
      <c r="I1" s="263" t="s">
        <v>214</v>
      </c>
      <c r="J1" s="123"/>
      <c r="K1" s="123"/>
      <c r="L1" s="123"/>
      <c r="M1" s="123"/>
      <c r="N1" s="123"/>
      <c r="O1" s="123"/>
    </row>
    <row r="2" spans="1:15" x14ac:dyDescent="0.25">
      <c r="A2" s="10">
        <f>SUM('Consumo AVDF'!R3:R26,'Consumo AVDF'!R28:R35,'Consumo AVDF'!R37,'Consumo AVDF'!R39)</f>
        <v>628.10952631578982</v>
      </c>
      <c r="B2" s="10">
        <f>SUM('Consumo AVDF'!S3:S26,'Consumo AVDF'!S28:S35,'Consumo AVDF'!S37,'Consumo AVDF'!S39)</f>
        <v>949.48066666666648</v>
      </c>
      <c r="C2" s="10">
        <f>SUM('Consumo AVDF'!S3:S40)</f>
        <v>1015.2806666666664</v>
      </c>
      <c r="D2" s="16">
        <f>B2/A2</f>
        <v>1.5116482506417255</v>
      </c>
      <c r="E2" s="266">
        <f>100/151</f>
        <v>0.66225165562913912</v>
      </c>
      <c r="F2" s="10">
        <f>SUM('Consumo AVDF'!W5:AC5,'Consumo AVDF'!AM5:AP5)</f>
        <v>150.24993249398733</v>
      </c>
      <c r="G2" s="267">
        <f>F2/C2</f>
        <v>0.14798856850813735</v>
      </c>
      <c r="H2" s="10">
        <f>SUM('Consumo AVDF'!AD5:AL5,'Consumo AVDF'!AQ5:AW5)</f>
        <v>152.6389884794711</v>
      </c>
      <c r="I2" s="16">
        <f>H2/C2</f>
        <v>0.15034166757120473</v>
      </c>
      <c r="J2" s="27"/>
      <c r="K2" s="27"/>
      <c r="L2" s="27"/>
      <c r="M2" s="27"/>
      <c r="N2" s="27"/>
      <c r="O2" s="27"/>
    </row>
    <row r="3" spans="1:15" hidden="1" x14ac:dyDescent="0.25">
      <c r="A3" s="7"/>
      <c r="B3" s="20"/>
      <c r="C3" s="20"/>
      <c r="D3" s="7"/>
      <c r="E3" s="7"/>
      <c r="F3" s="267">
        <f>F2/C2</f>
        <v>0.14798856850813735</v>
      </c>
      <c r="G3" s="267"/>
      <c r="H3" s="267">
        <f>H2/C2</f>
        <v>0.15034166757120473</v>
      </c>
      <c r="I3" s="267"/>
      <c r="J3" s="124"/>
      <c r="K3" s="124"/>
      <c r="L3" s="124"/>
      <c r="M3" s="124"/>
      <c r="N3" s="124"/>
      <c r="O3" s="124"/>
    </row>
    <row r="4" spans="1:15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</row>
    <row r="5" spans="1:15" ht="30" x14ac:dyDescent="0.25">
      <c r="A5" s="263" t="s">
        <v>194</v>
      </c>
      <c r="B5" s="264" t="s">
        <v>195</v>
      </c>
      <c r="C5" s="264" t="s">
        <v>197</v>
      </c>
      <c r="D5" s="263" t="s">
        <v>81</v>
      </c>
      <c r="E5" s="263" t="s">
        <v>82</v>
      </c>
      <c r="F5" s="263" t="s">
        <v>79</v>
      </c>
      <c r="G5" s="263" t="s">
        <v>214</v>
      </c>
      <c r="H5" s="263" t="s">
        <v>80</v>
      </c>
      <c r="I5" s="263" t="s">
        <v>214</v>
      </c>
    </row>
    <row r="6" spans="1:15" x14ac:dyDescent="0.25">
      <c r="A6" s="265">
        <f>SUM('Consumo AVDF'!R3:R26,'Consumo AVDF'!R28:R30,'Consumo AVDF'!R32:R35,'Consumo AVDF'!R38:R39)</f>
        <v>640.05689473684242</v>
      </c>
      <c r="B6" s="10">
        <f>SUM('Consumo AVDF'!U3:U26,'Consumo AVDF'!U28:U30,'Consumo AVDF'!U32:U35,'Consumo AVDF'!U38:U39)</f>
        <v>710.93800000000022</v>
      </c>
      <c r="C6" s="10">
        <f>SUM('Consumo AVDF'!U3:U40)</f>
        <v>723.83800000000019</v>
      </c>
      <c r="D6" s="16">
        <f>B6/A6</f>
        <v>1.1107418822389226</v>
      </c>
      <c r="E6" s="266">
        <f>100/111</f>
        <v>0.90090090090090091</v>
      </c>
      <c r="F6" s="10">
        <f>SUM('Consumo AVDF'!W11:AC11,'Consumo AVDF'!AM11:AP11)</f>
        <v>57.391813734421703</v>
      </c>
      <c r="G6" s="267">
        <f>F6/C6</f>
        <v>7.9288202241968073E-2</v>
      </c>
      <c r="H6" s="10">
        <f>SUM('Consumo AVDF'!AD11:AL11,'Consumo AVDF'!AQ11:AW11)</f>
        <v>55.913762468238367</v>
      </c>
      <c r="I6" s="267">
        <f>H6/C6</f>
        <v>7.7246238064647546E-2</v>
      </c>
    </row>
    <row r="7" spans="1:15" x14ac:dyDescent="0.25">
      <c r="A7" s="7"/>
      <c r="B7" s="20"/>
      <c r="C7" s="20"/>
      <c r="D7" s="7"/>
      <c r="E7" s="7"/>
      <c r="F7" s="267">
        <f>F6/C6</f>
        <v>7.9288202241968073E-2</v>
      </c>
      <c r="G7" s="267"/>
      <c r="H7" s="267">
        <f>H6/C6</f>
        <v>7.7246238064647546E-2</v>
      </c>
      <c r="I7" s="267"/>
    </row>
    <row r="8" spans="1:15" hidden="1" x14ac:dyDescent="0.25"/>
    <row r="9" spans="1:15" ht="30" x14ac:dyDescent="0.25">
      <c r="A9" s="263" t="s">
        <v>83</v>
      </c>
      <c r="B9" s="264" t="s">
        <v>84</v>
      </c>
      <c r="C9" s="264" t="s">
        <v>198</v>
      </c>
      <c r="D9" s="263" t="s">
        <v>85</v>
      </c>
      <c r="E9" s="263" t="s">
        <v>86</v>
      </c>
      <c r="F9" s="263" t="s">
        <v>79</v>
      </c>
      <c r="G9" s="263" t="s">
        <v>214</v>
      </c>
      <c r="H9" s="263" t="s">
        <v>80</v>
      </c>
      <c r="I9" s="263" t="s">
        <v>214</v>
      </c>
    </row>
    <row r="10" spans="1:15" x14ac:dyDescent="0.25">
      <c r="A10" s="265">
        <f>SUM('Consumo AVDF'!R3:R17,'Consumo AVDF'!R19:R26,'Consumo AVDF'!R28:R35,'Consumo AVDF'!R37,'Consumo AVDF'!R39)</f>
        <v>625.30952631578987</v>
      </c>
      <c r="B10" s="10">
        <f>SUM('Consumo AVDF'!T3:T17,'Consumo AVDF'!T19:T26,'Consumo AVDF'!T28:T35,'Consumo AVDF'!T37,'Consumo AVDF'!T39)</f>
        <v>764.19</v>
      </c>
      <c r="C10" s="10">
        <f>SUM('Consumo AVDF'!T3:T40)</f>
        <v>775.69</v>
      </c>
      <c r="D10" s="16">
        <f>B10/A10</f>
        <v>1.2220987652346651</v>
      </c>
      <c r="E10" s="266">
        <f>100/122</f>
        <v>0.81967213114754101</v>
      </c>
      <c r="F10" s="10">
        <f>SUM('Consumo AVDF'!W8:AC8,'Consumo AVDF'!AM8:AP8)</f>
        <v>46.840978062823417</v>
      </c>
      <c r="G10" s="267">
        <f>F10/C10</f>
        <v>6.0386208488988402E-2</v>
      </c>
      <c r="H10" s="10">
        <f>SUM('Consumo AVDF'!AD8:AL8,'Consumo AVDF'!AQ8:AW8)</f>
        <v>25.26449456865857</v>
      </c>
      <c r="I10" s="267">
        <f>H10/C10</f>
        <v>3.2570349712718445E-2</v>
      </c>
    </row>
    <row r="11" spans="1:15" hidden="1" x14ac:dyDescent="0.25">
      <c r="A11" s="7"/>
      <c r="B11" s="20"/>
      <c r="C11" s="20"/>
      <c r="D11" s="7"/>
      <c r="E11" s="7"/>
      <c r="F11" s="267">
        <f>F10/C10</f>
        <v>6.0386208488988402E-2</v>
      </c>
      <c r="G11" s="267"/>
      <c r="H11" s="267">
        <f>H10/C10</f>
        <v>3.2570349712718445E-2</v>
      </c>
      <c r="I11" s="268"/>
    </row>
    <row r="13" spans="1:15" ht="30" x14ac:dyDescent="0.25">
      <c r="A13" s="8" t="s">
        <v>89</v>
      </c>
      <c r="B13" s="100">
        <f>AVERAGE(D2,D6,D10)</f>
        <v>1.2814962993717709</v>
      </c>
    </row>
    <row r="14" spans="1:15" x14ac:dyDescent="0.25">
      <c r="A14" s="8" t="s">
        <v>87</v>
      </c>
      <c r="B14" s="100">
        <f>AVERAGE(F3,F7,F11)</f>
        <v>9.5887659746364609E-2</v>
      </c>
    </row>
    <row r="15" spans="1:15" x14ac:dyDescent="0.25">
      <c r="A15" s="8" t="s">
        <v>88</v>
      </c>
      <c r="B15" s="100">
        <f>AVERAGE(H3,H7,H11)</f>
        <v>8.6719418449523578E-2</v>
      </c>
    </row>
    <row r="16" spans="1:15" x14ac:dyDescent="0.25">
      <c r="A16" s="8"/>
      <c r="B16" s="7"/>
    </row>
    <row r="17" spans="1:2" ht="30" x14ac:dyDescent="0.25">
      <c r="A17" s="8" t="s">
        <v>90</v>
      </c>
      <c r="B17" s="100">
        <f>B13+B14</f>
        <v>1.3773839591181356</v>
      </c>
    </row>
    <row r="18" spans="1:2" ht="30" x14ac:dyDescent="0.25">
      <c r="A18" s="8" t="s">
        <v>91</v>
      </c>
      <c r="B18" s="100">
        <f>B13+B15</f>
        <v>1.3682157178212946</v>
      </c>
    </row>
  </sheetData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2"/>
  <sheetViews>
    <sheetView topLeftCell="A22" workbookViewId="0">
      <selection activeCell="K32" sqref="K32"/>
    </sheetView>
  </sheetViews>
  <sheetFormatPr defaultRowHeight="15" x14ac:dyDescent="0.25"/>
  <cols>
    <col min="1" max="1" width="14.85546875" style="2" bestFit="1" customWidth="1"/>
    <col min="2" max="2" width="17.28515625" style="2" bestFit="1" customWidth="1"/>
    <col min="3" max="3" width="21.42578125" style="2" bestFit="1" customWidth="1"/>
    <col min="4" max="5" width="12" style="2" bestFit="1" customWidth="1"/>
    <col min="6" max="7" width="16.5703125" style="2" customWidth="1"/>
    <col min="8" max="16384" width="9.140625" style="2"/>
  </cols>
  <sheetData>
    <row r="1" spans="1:7" s="80" customFormat="1" x14ac:dyDescent="0.25">
      <c r="D1" s="228">
        <f>'Comparativo pedidos x painel'!B17</f>
        <v>1.3773839591181356</v>
      </c>
      <c r="E1" s="228">
        <f>'Comparativo pedidos x painel'!B18</f>
        <v>1.3682157178212946</v>
      </c>
    </row>
    <row r="2" spans="1:7" s="80" customFormat="1" ht="15.75" thickBot="1" x14ac:dyDescent="0.3">
      <c r="A2" s="80" t="s">
        <v>200</v>
      </c>
      <c r="B2" s="80" t="s">
        <v>201</v>
      </c>
      <c r="C2" s="80" t="s">
        <v>202</v>
      </c>
      <c r="D2" s="228" t="s">
        <v>203</v>
      </c>
      <c r="E2" s="228" t="s">
        <v>204</v>
      </c>
    </row>
    <row r="3" spans="1:7" s="80" customFormat="1" ht="15.75" thickBot="1" x14ac:dyDescent="0.3">
      <c r="A3" s="76" t="s">
        <v>70</v>
      </c>
      <c r="B3" s="77" t="s">
        <v>71</v>
      </c>
      <c r="C3" s="81" t="s">
        <v>92</v>
      </c>
      <c r="D3" s="76" t="s">
        <v>93</v>
      </c>
      <c r="E3" s="78" t="s">
        <v>94</v>
      </c>
      <c r="F3" s="76" t="s">
        <v>205</v>
      </c>
      <c r="G3" s="78" t="s">
        <v>206</v>
      </c>
    </row>
    <row r="4" spans="1:7" x14ac:dyDescent="0.25">
      <c r="A4" s="82">
        <v>9.9578947368421051</v>
      </c>
      <c r="B4" s="83">
        <v>21.768421052631577</v>
      </c>
      <c r="C4" s="84">
        <v>15.863157894736842</v>
      </c>
      <c r="D4" s="88">
        <f>A4*$D$1</f>
        <v>13.715844477113224</v>
      </c>
      <c r="E4" s="89">
        <f>A4*$E$1</f>
        <v>13.624548095357312</v>
      </c>
      <c r="F4" s="88">
        <f>D4-C4</f>
        <v>-2.1473134176236179</v>
      </c>
      <c r="G4" s="89">
        <f>E4-C4</f>
        <v>-2.23860979937953</v>
      </c>
    </row>
    <row r="5" spans="1:7" x14ac:dyDescent="0.25">
      <c r="A5" s="86">
        <v>293.26315789473688</v>
      </c>
      <c r="B5" s="8">
        <v>502.94736842105266</v>
      </c>
      <c r="C5" s="87">
        <v>398.10526315789474</v>
      </c>
      <c r="D5" s="82">
        <f t="shared" ref="D5:D41" si="0">A5*$D$1</f>
        <v>403.93596948453961</v>
      </c>
      <c r="E5" s="85">
        <f t="shared" ref="E5:E41" si="1">A5*$E$1</f>
        <v>401.24726208948709</v>
      </c>
      <c r="F5" s="82">
        <f t="shared" ref="F5:F41" si="2">D5-C5</f>
        <v>5.8307063266448722</v>
      </c>
      <c r="G5" s="85">
        <f t="shared" ref="G5:G41" si="3">E5-C5</f>
        <v>3.1419989315923544</v>
      </c>
    </row>
    <row r="6" spans="1:7" x14ac:dyDescent="0.25">
      <c r="A6" s="86">
        <v>5.8210526315789473</v>
      </c>
      <c r="B6" s="8">
        <v>19.673684210526314</v>
      </c>
      <c r="C6" s="87">
        <v>12.747368421052631</v>
      </c>
      <c r="D6" s="82">
        <f t="shared" si="0"/>
        <v>8.0178245199192517</v>
      </c>
      <c r="E6" s="85">
        <f t="shared" si="1"/>
        <v>7.9644557047913249</v>
      </c>
      <c r="F6" s="82">
        <f t="shared" si="2"/>
        <v>-4.7295439011333791</v>
      </c>
      <c r="G6" s="85">
        <f t="shared" si="3"/>
        <v>-4.7829127162613059</v>
      </c>
    </row>
    <row r="7" spans="1:7" x14ac:dyDescent="0.25">
      <c r="A7" s="86">
        <v>15.600000000000003</v>
      </c>
      <c r="B7" s="8">
        <v>26.084210526315786</v>
      </c>
      <c r="C7" s="87">
        <v>20.842105263157897</v>
      </c>
      <c r="D7" s="82">
        <f t="shared" si="0"/>
        <v>21.48718976224292</v>
      </c>
      <c r="E7" s="85">
        <f t="shared" si="1"/>
        <v>21.344165198012199</v>
      </c>
      <c r="F7" s="82">
        <f t="shared" si="2"/>
        <v>0.64508449908502286</v>
      </c>
      <c r="G7" s="85">
        <f t="shared" si="3"/>
        <v>0.50205993485430156</v>
      </c>
    </row>
    <row r="8" spans="1:7" x14ac:dyDescent="0.25">
      <c r="A8" s="86">
        <v>13.13684210526316</v>
      </c>
      <c r="B8" s="8">
        <v>41.747368421052634</v>
      </c>
      <c r="C8" s="87">
        <v>27.442105263157899</v>
      </c>
      <c r="D8" s="82">
        <f t="shared" si="0"/>
        <v>18.094475589257193</v>
      </c>
      <c r="E8" s="85">
        <f t="shared" si="1"/>
        <v>17.974033850957642</v>
      </c>
      <c r="F8" s="82">
        <f t="shared" si="2"/>
        <v>-9.3476296739007054</v>
      </c>
      <c r="G8" s="85">
        <f t="shared" si="3"/>
        <v>-9.4680714122002563</v>
      </c>
    </row>
    <row r="9" spans="1:7" x14ac:dyDescent="0.25">
      <c r="A9" s="86">
        <v>10.442105263157895</v>
      </c>
      <c r="B9" s="8">
        <v>16.589473684210528</v>
      </c>
      <c r="C9" s="87">
        <v>13.515789473684212</v>
      </c>
      <c r="D9" s="82">
        <f t="shared" si="0"/>
        <v>14.382788288896743</v>
      </c>
      <c r="E9" s="85">
        <f t="shared" si="1"/>
        <v>14.287052548197098</v>
      </c>
      <c r="F9" s="82">
        <f t="shared" si="2"/>
        <v>0.86699881521253097</v>
      </c>
      <c r="G9" s="85">
        <f t="shared" si="3"/>
        <v>0.77126307451288589</v>
      </c>
    </row>
    <row r="10" spans="1:7" x14ac:dyDescent="0.25">
      <c r="A10" s="86">
        <v>43.073684210526316</v>
      </c>
      <c r="B10" s="8">
        <v>66.610526315789471</v>
      </c>
      <c r="C10" s="87">
        <v>54.84210526315789</v>
      </c>
      <c r="D10" s="82">
        <f t="shared" si="0"/>
        <v>59.329001691699062</v>
      </c>
      <c r="E10" s="85">
        <f t="shared" si="1"/>
        <v>58.934091761313027</v>
      </c>
      <c r="F10" s="82">
        <f t="shared" si="2"/>
        <v>4.4868964285411721</v>
      </c>
      <c r="G10" s="85">
        <f t="shared" si="3"/>
        <v>4.091986498155137</v>
      </c>
    </row>
    <row r="11" spans="1:7" x14ac:dyDescent="0.25">
      <c r="A11" s="86">
        <v>38.147368421052633</v>
      </c>
      <c r="B11" s="8">
        <v>49.863157894736844</v>
      </c>
      <c r="C11" s="87">
        <v>44.005263157894738</v>
      </c>
      <c r="D11" s="82">
        <f t="shared" si="0"/>
        <v>52.543573345727616</v>
      </c>
      <c r="E11" s="85">
        <f t="shared" si="1"/>
        <v>52.193829067203914</v>
      </c>
      <c r="F11" s="82">
        <f t="shared" si="2"/>
        <v>8.5383101878328773</v>
      </c>
      <c r="G11" s="85">
        <f t="shared" si="3"/>
        <v>8.188565909309176</v>
      </c>
    </row>
    <row r="12" spans="1:7" x14ac:dyDescent="0.25">
      <c r="A12" s="86">
        <v>3.1578947368421053</v>
      </c>
      <c r="B12" s="8">
        <v>8.4947368421052634</v>
      </c>
      <c r="C12" s="87">
        <v>5.8263157894736839</v>
      </c>
      <c r="D12" s="82">
        <f t="shared" si="0"/>
        <v>4.3496335551099019</v>
      </c>
      <c r="E12" s="85">
        <f t="shared" si="1"/>
        <v>4.3206812141725095</v>
      </c>
      <c r="F12" s="82">
        <f t="shared" si="2"/>
        <v>-1.476682234363782</v>
      </c>
      <c r="G12" s="85">
        <f t="shared" si="3"/>
        <v>-1.5056345753011744</v>
      </c>
    </row>
    <row r="13" spans="1:7" x14ac:dyDescent="0.25">
      <c r="A13" s="86">
        <v>0.78947368421052633</v>
      </c>
      <c r="B13" s="8">
        <v>0.78947368421052633</v>
      </c>
      <c r="C13" s="87">
        <v>0.78947368421052633</v>
      </c>
      <c r="D13" s="82">
        <f t="shared" si="0"/>
        <v>1.0874083887774755</v>
      </c>
      <c r="E13" s="85">
        <f t="shared" si="1"/>
        <v>1.0801703035431274</v>
      </c>
      <c r="F13" s="82">
        <f t="shared" si="2"/>
        <v>0.29793470456694915</v>
      </c>
      <c r="G13" s="85">
        <f t="shared" si="3"/>
        <v>0.29069661933260105</v>
      </c>
    </row>
    <row r="14" spans="1:7" x14ac:dyDescent="0.25">
      <c r="A14" s="86">
        <v>16.86315789473684</v>
      </c>
      <c r="B14" s="8">
        <v>20.305263157894736</v>
      </c>
      <c r="C14" s="87">
        <v>18.584210526315786</v>
      </c>
      <c r="D14" s="82">
        <f t="shared" si="0"/>
        <v>23.227043184286874</v>
      </c>
      <c r="E14" s="85">
        <f t="shared" si="1"/>
        <v>23.072437683681198</v>
      </c>
      <c r="F14" s="82">
        <f t="shared" si="2"/>
        <v>4.6428326579710877</v>
      </c>
      <c r="G14" s="85">
        <f t="shared" si="3"/>
        <v>4.4882271573654116</v>
      </c>
    </row>
    <row r="15" spans="1:7" x14ac:dyDescent="0.25">
      <c r="A15" s="86">
        <v>1.0736842105263158</v>
      </c>
      <c r="B15" s="8">
        <v>2.7789473684210528</v>
      </c>
      <c r="C15" s="87">
        <v>1.9263157894736844</v>
      </c>
      <c r="D15" s="82">
        <f t="shared" si="0"/>
        <v>1.4788754087373666</v>
      </c>
      <c r="E15" s="85">
        <f t="shared" si="1"/>
        <v>1.4690316128186531</v>
      </c>
      <c r="F15" s="82">
        <f t="shared" si="2"/>
        <v>-0.44744038073631787</v>
      </c>
      <c r="G15" s="85">
        <f t="shared" si="3"/>
        <v>-0.45728417665503129</v>
      </c>
    </row>
    <row r="16" spans="1:7" x14ac:dyDescent="0.25">
      <c r="A16" s="86">
        <v>0.9263157894736842</v>
      </c>
      <c r="B16" s="8">
        <v>1.642105263157895</v>
      </c>
      <c r="C16" s="87">
        <v>1.2842105263157895</v>
      </c>
      <c r="D16" s="82">
        <f t="shared" si="0"/>
        <v>1.2758925094989046</v>
      </c>
      <c r="E16" s="85">
        <f t="shared" si="1"/>
        <v>1.267399822823936</v>
      </c>
      <c r="F16" s="82">
        <f t="shared" si="2"/>
        <v>-8.3180168168848212E-3</v>
      </c>
      <c r="G16" s="85">
        <f t="shared" si="3"/>
        <v>-1.6810703491853429E-2</v>
      </c>
    </row>
    <row r="17" spans="1:7" x14ac:dyDescent="0.25">
      <c r="A17" s="86">
        <v>40</v>
      </c>
      <c r="B17" s="8">
        <v>83.368421052631589</v>
      </c>
      <c r="C17" s="87">
        <v>61.684210526315795</v>
      </c>
      <c r="D17" s="82">
        <f t="shared" si="0"/>
        <v>55.095358364725428</v>
      </c>
      <c r="E17" s="85">
        <f t="shared" si="1"/>
        <v>54.728628712851787</v>
      </c>
      <c r="F17" s="82">
        <f t="shared" si="2"/>
        <v>-6.588852161590367</v>
      </c>
      <c r="G17" s="85">
        <f t="shared" si="3"/>
        <v>-6.9555818134640077</v>
      </c>
    </row>
    <row r="18" spans="1:7" x14ac:dyDescent="0.25">
      <c r="A18" s="86">
        <v>48.336842105263159</v>
      </c>
      <c r="B18" s="8">
        <v>65.094736842105263</v>
      </c>
      <c r="C18" s="87">
        <v>56.715789473684211</v>
      </c>
      <c r="D18" s="82">
        <f t="shared" si="0"/>
        <v>66.578390950215564</v>
      </c>
      <c r="E18" s="85">
        <f t="shared" si="1"/>
        <v>66.13522711826721</v>
      </c>
      <c r="F18" s="82">
        <f t="shared" si="2"/>
        <v>9.8626014765313528</v>
      </c>
      <c r="G18" s="85">
        <f t="shared" si="3"/>
        <v>9.4194376445829988</v>
      </c>
    </row>
    <row r="19" spans="1:7" x14ac:dyDescent="0.25">
      <c r="A19" s="86">
        <v>2.8000000000000003</v>
      </c>
      <c r="B19" s="8">
        <v>4.3789473684210529</v>
      </c>
      <c r="C19" s="87">
        <v>3.5894736842105264</v>
      </c>
      <c r="D19" s="82">
        <f t="shared" si="0"/>
        <v>3.8566750855307799</v>
      </c>
      <c r="E19" s="85">
        <f t="shared" si="1"/>
        <v>3.8310040098996252</v>
      </c>
      <c r="F19" s="82">
        <f t="shared" si="2"/>
        <v>0.2672014013202535</v>
      </c>
      <c r="G19" s="85">
        <f t="shared" si="3"/>
        <v>0.24153032568909882</v>
      </c>
    </row>
    <row r="20" spans="1:7" x14ac:dyDescent="0.25">
      <c r="A20" s="86">
        <v>5.0105263157894733</v>
      </c>
      <c r="B20" s="8">
        <v>4.0842105263157897</v>
      </c>
      <c r="C20" s="87">
        <v>4.5473684210526315</v>
      </c>
      <c r="D20" s="82">
        <f t="shared" si="0"/>
        <v>6.9014185741077103</v>
      </c>
      <c r="E20" s="85">
        <f t="shared" si="1"/>
        <v>6.8554808598203811</v>
      </c>
      <c r="F20" s="82">
        <f t="shared" si="2"/>
        <v>2.3540501530550788</v>
      </c>
      <c r="G20" s="85">
        <f t="shared" si="3"/>
        <v>2.3081124387677496</v>
      </c>
    </row>
    <row r="21" spans="1:7" x14ac:dyDescent="0.25">
      <c r="A21" s="86">
        <v>0.49900000000000005</v>
      </c>
      <c r="B21" s="8">
        <v>0.61052631578947369</v>
      </c>
      <c r="C21" s="87">
        <v>0.55476315789473685</v>
      </c>
      <c r="D21" s="82">
        <f t="shared" si="0"/>
        <v>0.68731459559994978</v>
      </c>
      <c r="E21" s="85">
        <f t="shared" si="1"/>
        <v>0.6827396431928261</v>
      </c>
      <c r="F21" s="82">
        <f t="shared" si="2"/>
        <v>0.13255143770521294</v>
      </c>
      <c r="G21" s="85">
        <f t="shared" si="3"/>
        <v>0.12797648529808925</v>
      </c>
    </row>
    <row r="22" spans="1:7" x14ac:dyDescent="0.25">
      <c r="A22" s="86">
        <v>4</v>
      </c>
      <c r="B22" s="8">
        <v>19.957894736842107</v>
      </c>
      <c r="C22" s="87">
        <v>11.978947368421053</v>
      </c>
      <c r="D22" s="82">
        <f t="shared" si="0"/>
        <v>5.5095358364725424</v>
      </c>
      <c r="E22" s="85">
        <f t="shared" si="1"/>
        <v>5.4728628712851783</v>
      </c>
      <c r="F22" s="82">
        <f t="shared" si="2"/>
        <v>-6.469411531948511</v>
      </c>
      <c r="G22" s="85">
        <f t="shared" si="3"/>
        <v>-6.5060844971358751</v>
      </c>
    </row>
    <row r="23" spans="1:7" x14ac:dyDescent="0.25">
      <c r="A23" s="86">
        <v>8.989473684210525</v>
      </c>
      <c r="B23" s="8">
        <v>13.663157894736843</v>
      </c>
      <c r="C23" s="87">
        <v>11.326315789473684</v>
      </c>
      <c r="D23" s="82">
        <f t="shared" si="0"/>
        <v>12.381956853546185</v>
      </c>
      <c r="E23" s="85">
        <f t="shared" si="1"/>
        <v>12.299539189677741</v>
      </c>
      <c r="F23" s="82">
        <f t="shared" si="2"/>
        <v>1.0556410640725016</v>
      </c>
      <c r="G23" s="85">
        <f t="shared" si="3"/>
        <v>0.9732234002040574</v>
      </c>
    </row>
    <row r="24" spans="1:7" x14ac:dyDescent="0.25">
      <c r="A24" s="86">
        <v>2.8105263157894735</v>
      </c>
      <c r="B24" s="8">
        <v>2.9578947368421056</v>
      </c>
      <c r="C24" s="87">
        <v>2.8842105263157896</v>
      </c>
      <c r="D24" s="82">
        <f t="shared" si="0"/>
        <v>3.8711738640478126</v>
      </c>
      <c r="E24" s="85">
        <f t="shared" si="1"/>
        <v>3.845406280613533</v>
      </c>
      <c r="F24" s="82">
        <f t="shared" si="2"/>
        <v>0.98696333773202305</v>
      </c>
      <c r="G24" s="85">
        <f t="shared" si="3"/>
        <v>0.9611957542977434</v>
      </c>
    </row>
    <row r="25" spans="1:7" x14ac:dyDescent="0.25">
      <c r="A25" s="86">
        <v>6.3578947368421055</v>
      </c>
      <c r="B25" s="8">
        <v>12.200000000000001</v>
      </c>
      <c r="C25" s="87">
        <v>9.2789473684210542</v>
      </c>
      <c r="D25" s="82">
        <f t="shared" si="0"/>
        <v>8.7572622242879365</v>
      </c>
      <c r="E25" s="85">
        <f t="shared" si="1"/>
        <v>8.6989715112006518</v>
      </c>
      <c r="F25" s="82">
        <f t="shared" si="2"/>
        <v>-0.52168514413311762</v>
      </c>
      <c r="G25" s="85">
        <f t="shared" si="3"/>
        <v>-0.57997585722040235</v>
      </c>
    </row>
    <row r="26" spans="1:7" x14ac:dyDescent="0.25">
      <c r="A26" s="86">
        <v>2.7473684210526317</v>
      </c>
      <c r="B26" s="8">
        <v>4.2842105263157899</v>
      </c>
      <c r="C26" s="87">
        <v>3.5157894736842108</v>
      </c>
      <c r="D26" s="82">
        <f t="shared" si="0"/>
        <v>3.7841811929456148</v>
      </c>
      <c r="E26" s="85">
        <f t="shared" si="1"/>
        <v>3.7589926563300833</v>
      </c>
      <c r="F26" s="82">
        <f t="shared" si="2"/>
        <v>0.26839171926140404</v>
      </c>
      <c r="G26" s="85">
        <f t="shared" si="3"/>
        <v>0.24320318264587248</v>
      </c>
    </row>
    <row r="27" spans="1:7" x14ac:dyDescent="0.25">
      <c r="A27" s="86">
        <v>2.168421052631579</v>
      </c>
      <c r="B27" s="8">
        <v>7.3368421052631581</v>
      </c>
      <c r="C27" s="87">
        <v>4.7526315789473683</v>
      </c>
      <c r="D27" s="82">
        <f t="shared" si="0"/>
        <v>2.9867483745087995</v>
      </c>
      <c r="E27" s="85">
        <f t="shared" si="1"/>
        <v>2.9668677670651231</v>
      </c>
      <c r="F27" s="82">
        <f t="shared" si="2"/>
        <v>-1.7658832044385688</v>
      </c>
      <c r="G27" s="85">
        <f t="shared" si="3"/>
        <v>-1.7857638118822452</v>
      </c>
    </row>
    <row r="28" spans="1:7" x14ac:dyDescent="0.25">
      <c r="A28" s="104">
        <v>0</v>
      </c>
      <c r="B28" s="105">
        <v>28.8</v>
      </c>
      <c r="C28" s="106">
        <v>28.8</v>
      </c>
      <c r="D28" s="107">
        <f t="shared" si="0"/>
        <v>0</v>
      </c>
      <c r="E28" s="108">
        <f t="shared" si="1"/>
        <v>0</v>
      </c>
      <c r="F28" s="107">
        <f t="shared" si="2"/>
        <v>-28.8</v>
      </c>
      <c r="G28" s="108">
        <f t="shared" si="3"/>
        <v>-28.8</v>
      </c>
    </row>
    <row r="29" spans="1:7" x14ac:dyDescent="0.25">
      <c r="A29" s="86">
        <v>1.6</v>
      </c>
      <c r="B29" s="8">
        <v>7.7473684210526326</v>
      </c>
      <c r="C29" s="87">
        <v>4.6736842105263161</v>
      </c>
      <c r="D29" s="82">
        <f t="shared" si="0"/>
        <v>2.2038143345890169</v>
      </c>
      <c r="E29" s="85">
        <f t="shared" si="1"/>
        <v>2.1891451485140716</v>
      </c>
      <c r="F29" s="82">
        <f t="shared" si="2"/>
        <v>-2.4698698759372992</v>
      </c>
      <c r="G29" s="85">
        <f t="shared" si="3"/>
        <v>-2.4845390620122445</v>
      </c>
    </row>
    <row r="30" spans="1:7" x14ac:dyDescent="0.25">
      <c r="A30" s="86">
        <v>2.6947368421052635</v>
      </c>
      <c r="B30" s="8">
        <v>4.2</v>
      </c>
      <c r="C30" s="87">
        <v>3.4473684210526319</v>
      </c>
      <c r="D30" s="82">
        <f t="shared" si="0"/>
        <v>3.7116873003604502</v>
      </c>
      <c r="E30" s="85">
        <f t="shared" si="1"/>
        <v>3.6869813027605418</v>
      </c>
      <c r="F30" s="82">
        <f t="shared" si="2"/>
        <v>0.26431887930781839</v>
      </c>
      <c r="G30" s="85">
        <f t="shared" si="3"/>
        <v>0.23961288170790995</v>
      </c>
    </row>
    <row r="31" spans="1:7" x14ac:dyDescent="0.25">
      <c r="A31" s="86">
        <v>1.1157894736842107</v>
      </c>
      <c r="B31" s="8">
        <v>1.0736842105263158</v>
      </c>
      <c r="C31" s="87">
        <v>1.0947368421052632</v>
      </c>
      <c r="D31" s="82">
        <f t="shared" si="0"/>
        <v>1.5368705228054989</v>
      </c>
      <c r="E31" s="85">
        <f t="shared" si="1"/>
        <v>1.5266406956742868</v>
      </c>
      <c r="F31" s="82">
        <f t="shared" si="2"/>
        <v>0.44213368070023562</v>
      </c>
      <c r="G31" s="85">
        <f t="shared" si="3"/>
        <v>0.43190385356902361</v>
      </c>
    </row>
    <row r="32" spans="1:7" x14ac:dyDescent="0.25">
      <c r="A32" s="86">
        <v>3.2</v>
      </c>
      <c r="B32" s="8">
        <v>3.9789473684210526</v>
      </c>
      <c r="C32" s="87">
        <v>3.5894736842105264</v>
      </c>
      <c r="D32" s="82">
        <f t="shared" si="0"/>
        <v>4.4076286691780338</v>
      </c>
      <c r="E32" s="85">
        <f t="shared" si="1"/>
        <v>4.3782902970281432</v>
      </c>
      <c r="F32" s="82">
        <f t="shared" si="2"/>
        <v>0.81815498496750738</v>
      </c>
      <c r="G32" s="85">
        <f t="shared" si="3"/>
        <v>0.78881661281761684</v>
      </c>
    </row>
    <row r="33" spans="1:7" x14ac:dyDescent="0.25">
      <c r="A33" s="86">
        <v>1.463157894736842</v>
      </c>
      <c r="B33" s="8">
        <v>4.2736842105263158</v>
      </c>
      <c r="C33" s="87">
        <v>2.8684210526315788</v>
      </c>
      <c r="D33" s="82">
        <f t="shared" si="0"/>
        <v>2.0153302138675877</v>
      </c>
      <c r="E33" s="85">
        <f t="shared" si="1"/>
        <v>2.0019156292332623</v>
      </c>
      <c r="F33" s="82">
        <f t="shared" si="2"/>
        <v>-0.85309083876399106</v>
      </c>
      <c r="G33" s="85">
        <f t="shared" si="3"/>
        <v>-0.86650542339831649</v>
      </c>
    </row>
    <row r="34" spans="1:7" x14ac:dyDescent="0.25">
      <c r="A34" s="86">
        <v>1.442105263157895</v>
      </c>
      <c r="B34" s="8">
        <v>4.2736842105263158</v>
      </c>
      <c r="C34" s="87">
        <v>2.8578947368421055</v>
      </c>
      <c r="D34" s="82">
        <f t="shared" si="0"/>
        <v>1.9863326568335222</v>
      </c>
      <c r="E34" s="85">
        <f t="shared" si="1"/>
        <v>1.9731110878054463</v>
      </c>
      <c r="F34" s="82">
        <f t="shared" si="2"/>
        <v>-0.87156208000858326</v>
      </c>
      <c r="G34" s="85">
        <f t="shared" si="3"/>
        <v>-0.88478364903665918</v>
      </c>
    </row>
    <row r="35" spans="1:7" x14ac:dyDescent="0.25">
      <c r="A35" s="86">
        <v>3.4421052631578948</v>
      </c>
      <c r="B35" s="8">
        <v>4.9894736842105267</v>
      </c>
      <c r="C35" s="87">
        <v>4.215789473684211</v>
      </c>
      <c r="D35" s="82">
        <f t="shared" si="0"/>
        <v>4.741100575069793</v>
      </c>
      <c r="E35" s="85">
        <f t="shared" si="1"/>
        <v>4.709542523448035</v>
      </c>
      <c r="F35" s="82">
        <f t="shared" si="2"/>
        <v>0.52531110138558201</v>
      </c>
      <c r="G35" s="85">
        <f t="shared" si="3"/>
        <v>0.49375304976382406</v>
      </c>
    </row>
    <row r="36" spans="1:7" x14ac:dyDescent="0.25">
      <c r="A36" s="86">
        <v>21.621052631578948</v>
      </c>
      <c r="B36" s="8">
        <v>62.694736842105272</v>
      </c>
      <c r="C36" s="87">
        <v>42.15789473684211</v>
      </c>
      <c r="D36" s="82">
        <f t="shared" si="0"/>
        <v>29.780491073985797</v>
      </c>
      <c r="E36" s="85">
        <f t="shared" si="1"/>
        <v>29.582264046367779</v>
      </c>
      <c r="F36" s="82">
        <f t="shared" si="2"/>
        <v>-12.377403662856313</v>
      </c>
      <c r="G36" s="85">
        <f t="shared" si="3"/>
        <v>-12.57563069047433</v>
      </c>
    </row>
    <row r="37" spans="1:7" x14ac:dyDescent="0.25">
      <c r="A37" s="104">
        <v>0</v>
      </c>
      <c r="B37" s="105">
        <v>25.831578947368421</v>
      </c>
      <c r="C37" s="106">
        <v>25.831578947368421</v>
      </c>
      <c r="D37" s="107">
        <f t="shared" si="0"/>
        <v>0</v>
      </c>
      <c r="E37" s="108">
        <f t="shared" si="1"/>
        <v>0</v>
      </c>
      <c r="F37" s="107">
        <f t="shared" si="2"/>
        <v>-25.831578947368421</v>
      </c>
      <c r="G37" s="108">
        <f t="shared" si="3"/>
        <v>-25.831578947368421</v>
      </c>
    </row>
    <row r="38" spans="1:7" x14ac:dyDescent="0.25">
      <c r="A38" s="86">
        <v>1.3473684210526318</v>
      </c>
      <c r="B38" s="8">
        <v>3.3368421052631581</v>
      </c>
      <c r="C38" s="87">
        <v>2.3421052631578947</v>
      </c>
      <c r="D38" s="82">
        <f t="shared" si="0"/>
        <v>1.8558436501802251</v>
      </c>
      <c r="E38" s="85">
        <f t="shared" si="1"/>
        <v>1.8434906513802709</v>
      </c>
      <c r="F38" s="82">
        <f t="shared" si="2"/>
        <v>-0.48626161297766957</v>
      </c>
      <c r="G38" s="85">
        <f t="shared" si="3"/>
        <v>-0.49861461177762378</v>
      </c>
    </row>
    <row r="39" spans="1:7" x14ac:dyDescent="0.25">
      <c r="A39" s="86">
        <v>16.494736842105265</v>
      </c>
      <c r="B39" s="8">
        <v>18.589473684210528</v>
      </c>
      <c r="C39" s="87">
        <v>17.542105263157897</v>
      </c>
      <c r="D39" s="82">
        <f t="shared" si="0"/>
        <v>22.719585936190725</v>
      </c>
      <c r="E39" s="85">
        <f t="shared" si="1"/>
        <v>22.568358208694409</v>
      </c>
      <c r="F39" s="82">
        <f t="shared" si="2"/>
        <v>5.1774806730328287</v>
      </c>
      <c r="G39" s="85">
        <f t="shared" si="3"/>
        <v>5.0262529455365126</v>
      </c>
    </row>
    <row r="40" spans="1:7" x14ac:dyDescent="0.25">
      <c r="A40" s="86">
        <v>14.210526315789474</v>
      </c>
      <c r="B40" s="8">
        <v>8.5157894736842099</v>
      </c>
      <c r="C40" s="87">
        <v>11.363157894736842</v>
      </c>
      <c r="D40" s="82">
        <f t="shared" si="0"/>
        <v>19.573350997994559</v>
      </c>
      <c r="E40" s="85">
        <f t="shared" si="1"/>
        <v>19.443065463776293</v>
      </c>
      <c r="F40" s="82">
        <f t="shared" si="2"/>
        <v>8.2101931032577173</v>
      </c>
      <c r="G40" s="85">
        <f t="shared" si="3"/>
        <v>8.0799075690394506</v>
      </c>
    </row>
    <row r="41" spans="1:7" ht="15.75" thickBot="1" x14ac:dyDescent="0.3">
      <c r="A41" s="90">
        <v>55.515789473684215</v>
      </c>
      <c r="B41" s="91">
        <v>12.147368421052631</v>
      </c>
      <c r="C41" s="92">
        <v>33.831578947368421</v>
      </c>
      <c r="D41" s="93">
        <f t="shared" si="0"/>
        <v>76.466557898832079</v>
      </c>
      <c r="E41" s="94">
        <f t="shared" si="1"/>
        <v>75.957575745152724</v>
      </c>
      <c r="F41" s="93">
        <f t="shared" si="2"/>
        <v>42.634978951463658</v>
      </c>
      <c r="G41" s="94">
        <f t="shared" si="3"/>
        <v>42.125996797784303</v>
      </c>
    </row>
    <row r="42" spans="1:7" ht="15.75" thickBot="1" x14ac:dyDescent="0.3">
      <c r="A42" s="95">
        <f>SUM(A4:A41)</f>
        <v>700.12005263157926</v>
      </c>
      <c r="B42" s="96">
        <f t="shared" ref="B42:E42" si="4">SUM(B4:B41)</f>
        <v>1187.6842105263161</v>
      </c>
      <c r="C42" s="98">
        <f t="shared" si="4"/>
        <v>971.21792105263137</v>
      </c>
      <c r="D42" s="99">
        <f t="shared" si="4"/>
        <v>964.33412995168203</v>
      </c>
      <c r="E42" s="97">
        <f t="shared" si="4"/>
        <v>957.91526037239851</v>
      </c>
      <c r="F42" s="99">
        <f>SUM(F4:F41)</f>
        <v>-6.8837911009498498</v>
      </c>
      <c r="G42" s="97">
        <f>SUM(G4:G41)</f>
        <v>-13.302660680233167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8"/>
  <sheetViews>
    <sheetView workbookViewId="0">
      <selection activeCell="F41" sqref="F41"/>
    </sheetView>
  </sheetViews>
  <sheetFormatPr defaultRowHeight="15" x14ac:dyDescent="0.25"/>
  <cols>
    <col min="1" max="1" width="33.85546875" style="109" bestFit="1" customWidth="1"/>
    <col min="2" max="2" width="9.140625" style="109" bestFit="1" customWidth="1"/>
    <col min="3" max="3" width="11.28515625" style="109" bestFit="1" customWidth="1"/>
    <col min="4" max="4" width="9.7109375" style="109" bestFit="1" customWidth="1"/>
    <col min="5" max="5" width="9.140625" style="109"/>
    <col min="6" max="6" width="11.5703125" style="109" bestFit="1" customWidth="1"/>
    <col min="7" max="16384" width="9.140625" style="109"/>
  </cols>
  <sheetData>
    <row r="1" spans="1:6" ht="30.75" thickBot="1" x14ac:dyDescent="0.3">
      <c r="A1" s="76" t="s">
        <v>0</v>
      </c>
      <c r="B1" s="77" t="s">
        <v>96</v>
      </c>
      <c r="C1" s="77" t="s">
        <v>97</v>
      </c>
      <c r="D1" s="78" t="s">
        <v>69</v>
      </c>
    </row>
    <row r="2" spans="1:6" x14ac:dyDescent="0.25">
      <c r="A2" s="110" t="s">
        <v>8</v>
      </c>
      <c r="B2" s="111">
        <v>0.45263157894736844</v>
      </c>
      <c r="C2" s="111">
        <v>0.98947368421052628</v>
      </c>
      <c r="D2" s="118">
        <v>2.1860465116279069</v>
      </c>
      <c r="F2" s="121"/>
    </row>
    <row r="3" spans="1:6" x14ac:dyDescent="0.25">
      <c r="A3" s="112" t="s">
        <v>42</v>
      </c>
      <c r="B3" s="113">
        <v>14.663157894736843</v>
      </c>
      <c r="C3" s="113">
        <v>25.147368421052633</v>
      </c>
      <c r="D3" s="119">
        <v>1.7150035893754487</v>
      </c>
      <c r="F3" s="121"/>
    </row>
    <row r="4" spans="1:6" x14ac:dyDescent="0.25">
      <c r="A4" s="112" t="s">
        <v>11</v>
      </c>
      <c r="B4" s="113">
        <v>0.83157894736842108</v>
      </c>
      <c r="C4" s="113">
        <v>2.8105263157894735</v>
      </c>
      <c r="D4" s="119">
        <v>3.3797468354430378</v>
      </c>
      <c r="F4" s="121"/>
    </row>
    <row r="5" spans="1:6" x14ac:dyDescent="0.25">
      <c r="A5" s="112" t="s">
        <v>22</v>
      </c>
      <c r="B5" s="113">
        <v>2.6000000000000005</v>
      </c>
      <c r="C5" s="113">
        <v>4.3473684210526313</v>
      </c>
      <c r="D5" s="119">
        <v>1.6720647773279347</v>
      </c>
      <c r="F5" s="121"/>
    </row>
    <row r="6" spans="1:6" x14ac:dyDescent="0.25">
      <c r="A6" s="112" t="s">
        <v>5</v>
      </c>
      <c r="B6" s="113">
        <v>2.1894736842105265</v>
      </c>
      <c r="C6" s="113">
        <v>6.957894736842106</v>
      </c>
      <c r="D6" s="119">
        <v>3.1778846153846154</v>
      </c>
      <c r="F6" s="121"/>
    </row>
    <row r="7" spans="1:6" x14ac:dyDescent="0.25">
      <c r="A7" s="112" t="s">
        <v>27</v>
      </c>
      <c r="B7" s="113">
        <v>2.6105263157894738</v>
      </c>
      <c r="C7" s="113">
        <v>4.147368421052632</v>
      </c>
      <c r="D7" s="119">
        <v>1.588709677419355</v>
      </c>
      <c r="F7" s="121"/>
    </row>
    <row r="8" spans="1:6" x14ac:dyDescent="0.25">
      <c r="A8" s="112" t="s">
        <v>48</v>
      </c>
      <c r="B8" s="113">
        <v>10.768421052631579</v>
      </c>
      <c r="C8" s="113">
        <v>16.652631578947368</v>
      </c>
      <c r="D8" s="119">
        <v>1.5464320625610948</v>
      </c>
      <c r="F8" s="121"/>
    </row>
    <row r="9" spans="1:6" x14ac:dyDescent="0.25">
      <c r="A9" s="112" t="s">
        <v>47</v>
      </c>
      <c r="B9" s="113">
        <v>12.715789473684211</v>
      </c>
      <c r="C9" s="113">
        <v>16.621052631578948</v>
      </c>
      <c r="D9" s="119">
        <v>1.3071192052980132</v>
      </c>
      <c r="F9" s="121"/>
    </row>
    <row r="10" spans="1:6" x14ac:dyDescent="0.25">
      <c r="A10" s="112" t="s">
        <v>17</v>
      </c>
      <c r="B10" s="113">
        <v>1.0526315789473684</v>
      </c>
      <c r="C10" s="113">
        <v>2.831578947368421</v>
      </c>
      <c r="D10" s="119">
        <v>2.69</v>
      </c>
      <c r="F10" s="121"/>
    </row>
    <row r="11" spans="1:6" x14ac:dyDescent="0.25">
      <c r="A11" s="112" t="s">
        <v>33</v>
      </c>
      <c r="B11" s="113">
        <v>0.26315789473684209</v>
      </c>
      <c r="C11" s="113">
        <v>0.26315789473684209</v>
      </c>
      <c r="D11" s="119">
        <v>1</v>
      </c>
      <c r="F11" s="121"/>
    </row>
    <row r="12" spans="1:6" x14ac:dyDescent="0.25">
      <c r="A12" s="112" t="s">
        <v>44</v>
      </c>
      <c r="B12" s="113">
        <v>5.6210526315789471</v>
      </c>
      <c r="C12" s="113">
        <v>6.7684210526315791</v>
      </c>
      <c r="D12" s="119">
        <v>1.2041198501872661</v>
      </c>
      <c r="F12" s="121"/>
    </row>
    <row r="13" spans="1:6" x14ac:dyDescent="0.25">
      <c r="A13" s="112" t="s">
        <v>6</v>
      </c>
      <c r="B13" s="113">
        <v>0.5368421052631579</v>
      </c>
      <c r="C13" s="113">
        <v>1.3894736842105264</v>
      </c>
      <c r="D13" s="119">
        <v>2.5882352941176472</v>
      </c>
      <c r="F13" s="121"/>
    </row>
    <row r="14" spans="1:6" x14ac:dyDescent="0.25">
      <c r="A14" s="112" t="s">
        <v>9</v>
      </c>
      <c r="B14" s="113">
        <v>0.4631578947368421</v>
      </c>
      <c r="C14" s="113">
        <v>0.82105263157894748</v>
      </c>
      <c r="D14" s="119">
        <v>1.7727272727272729</v>
      </c>
      <c r="F14" s="121"/>
    </row>
    <row r="15" spans="1:6" x14ac:dyDescent="0.25">
      <c r="A15" s="112" t="s">
        <v>7</v>
      </c>
      <c r="B15" s="113">
        <v>20</v>
      </c>
      <c r="C15" s="113">
        <v>41.684210526315795</v>
      </c>
      <c r="D15" s="119">
        <v>2.0842105263157897</v>
      </c>
      <c r="F15" s="121"/>
    </row>
    <row r="16" spans="1:6" x14ac:dyDescent="0.25">
      <c r="A16" s="112" t="s">
        <v>46</v>
      </c>
      <c r="B16" s="113">
        <v>24.168421052631579</v>
      </c>
      <c r="C16" s="113">
        <v>32.547368421052632</v>
      </c>
      <c r="D16" s="119">
        <v>1.3466898954703832</v>
      </c>
      <c r="F16" s="121"/>
    </row>
    <row r="17" spans="1:6" x14ac:dyDescent="0.25">
      <c r="A17" s="112" t="s">
        <v>18</v>
      </c>
      <c r="B17" s="113">
        <v>1.4000000000000001</v>
      </c>
      <c r="C17" s="113">
        <v>2.1894736842105265</v>
      </c>
      <c r="D17" s="119">
        <v>1.5639097744360901</v>
      </c>
      <c r="F17" s="121"/>
    </row>
    <row r="18" spans="1:6" x14ac:dyDescent="0.25">
      <c r="A18" s="112" t="s">
        <v>26</v>
      </c>
      <c r="B18" s="113">
        <v>2.5052631578947366</v>
      </c>
      <c r="C18" s="113">
        <v>2.0421052631578949</v>
      </c>
      <c r="D18" s="119">
        <v>0.81512605042016817</v>
      </c>
      <c r="F18" s="121"/>
    </row>
    <row r="19" spans="1:6" x14ac:dyDescent="0.25">
      <c r="A19" s="112" t="s">
        <v>2</v>
      </c>
      <c r="B19" s="113">
        <v>0.24950000000000003</v>
      </c>
      <c r="C19" s="113">
        <v>0.30526315789473685</v>
      </c>
      <c r="D19" s="119">
        <v>1.2234996308406285</v>
      </c>
      <c r="F19" s="121"/>
    </row>
    <row r="20" spans="1:6" x14ac:dyDescent="0.25">
      <c r="A20" s="112" t="s">
        <v>16</v>
      </c>
      <c r="B20" s="113">
        <v>2</v>
      </c>
      <c r="C20" s="113">
        <v>9.9789473684210535</v>
      </c>
      <c r="D20" s="119">
        <v>4.9894736842105267</v>
      </c>
      <c r="F20" s="121"/>
    </row>
    <row r="21" spans="1:6" x14ac:dyDescent="0.25">
      <c r="A21" s="112" t="s">
        <v>56</v>
      </c>
      <c r="B21" s="113">
        <v>4.4947368421052625</v>
      </c>
      <c r="C21" s="113">
        <v>6.8315789473684214</v>
      </c>
      <c r="D21" s="119">
        <v>1.5199063231850121</v>
      </c>
      <c r="F21" s="121"/>
    </row>
    <row r="22" spans="1:6" x14ac:dyDescent="0.25">
      <c r="A22" s="112" t="s">
        <v>25</v>
      </c>
      <c r="B22" s="113">
        <v>2.8105263157894735</v>
      </c>
      <c r="C22" s="113">
        <v>2.9578947368421056</v>
      </c>
      <c r="D22" s="119">
        <v>1.0524344569288391</v>
      </c>
      <c r="F22" s="121"/>
    </row>
    <row r="23" spans="1:6" x14ac:dyDescent="0.25">
      <c r="A23" s="112" t="s">
        <v>15</v>
      </c>
      <c r="B23" s="113">
        <v>6.3578947368421055</v>
      </c>
      <c r="C23" s="113">
        <v>12.200000000000001</v>
      </c>
      <c r="D23" s="119">
        <v>1.9188741721854305</v>
      </c>
      <c r="F23" s="121"/>
    </row>
    <row r="24" spans="1:6" x14ac:dyDescent="0.25">
      <c r="A24" s="112" t="s">
        <v>21</v>
      </c>
      <c r="B24" s="113">
        <v>2.7473684210526317</v>
      </c>
      <c r="C24" s="113">
        <v>4.2842105263157899</v>
      </c>
      <c r="D24" s="119">
        <v>1.5593869731800767</v>
      </c>
      <c r="F24" s="121"/>
    </row>
    <row r="25" spans="1:6" x14ac:dyDescent="0.25">
      <c r="A25" s="112" t="s">
        <v>52</v>
      </c>
      <c r="B25" s="113">
        <v>2.168421052631579</v>
      </c>
      <c r="C25" s="113">
        <v>7.3368421052631581</v>
      </c>
      <c r="D25" s="119">
        <v>3.383495145631068</v>
      </c>
      <c r="F25" s="121"/>
    </row>
    <row r="26" spans="1:6" x14ac:dyDescent="0.25">
      <c r="A26" s="112" t="s">
        <v>30</v>
      </c>
      <c r="B26" s="113">
        <v>0</v>
      </c>
      <c r="C26" s="113">
        <v>28.8</v>
      </c>
      <c r="D26" s="119"/>
      <c r="F26" s="121"/>
    </row>
    <row r="27" spans="1:6" x14ac:dyDescent="0.25">
      <c r="A27" s="112" t="s">
        <v>51</v>
      </c>
      <c r="B27" s="113">
        <v>1.6</v>
      </c>
      <c r="C27" s="113">
        <v>7.7473684210526326</v>
      </c>
      <c r="D27" s="119">
        <v>4.8421052631578947</v>
      </c>
      <c r="F27" s="121"/>
    </row>
    <row r="28" spans="1:6" x14ac:dyDescent="0.25">
      <c r="A28" s="112" t="s">
        <v>45</v>
      </c>
      <c r="B28" s="113">
        <v>2.6947368421052635</v>
      </c>
      <c r="C28" s="113">
        <v>4.2</v>
      </c>
      <c r="D28" s="119">
        <v>1.5585937499999998</v>
      </c>
      <c r="F28" s="121"/>
    </row>
    <row r="29" spans="1:6" x14ac:dyDescent="0.25">
      <c r="A29" s="112" t="s">
        <v>55</v>
      </c>
      <c r="B29" s="113">
        <v>1.1157894736842107</v>
      </c>
      <c r="C29" s="113">
        <v>1.0736842105263158</v>
      </c>
      <c r="D29" s="119">
        <v>0.96226415094339612</v>
      </c>
      <c r="F29" s="121"/>
    </row>
    <row r="30" spans="1:6" x14ac:dyDescent="0.25">
      <c r="A30" s="112" t="s">
        <v>12</v>
      </c>
      <c r="B30" s="113">
        <v>3.2</v>
      </c>
      <c r="C30" s="113">
        <v>3.9789473684210526</v>
      </c>
      <c r="D30" s="119">
        <v>1.2434210526315788</v>
      </c>
      <c r="F30" s="121"/>
    </row>
    <row r="31" spans="1:6" x14ac:dyDescent="0.25">
      <c r="A31" s="112" t="s">
        <v>10</v>
      </c>
      <c r="B31" s="113">
        <v>1.463157894736842</v>
      </c>
      <c r="C31" s="113">
        <v>4.2736842105263158</v>
      </c>
      <c r="D31" s="119">
        <v>2.920863309352518</v>
      </c>
      <c r="F31" s="121"/>
    </row>
    <row r="32" spans="1:6" x14ac:dyDescent="0.25">
      <c r="A32" s="112" t="s">
        <v>23</v>
      </c>
      <c r="B32" s="113">
        <v>1.442105263157895</v>
      </c>
      <c r="C32" s="113">
        <v>4.2736842105263158</v>
      </c>
      <c r="D32" s="119">
        <v>2.9635036496350358</v>
      </c>
      <c r="F32" s="121"/>
    </row>
    <row r="33" spans="1:6" x14ac:dyDescent="0.25">
      <c r="A33" s="112" t="s">
        <v>31</v>
      </c>
      <c r="B33" s="113">
        <v>3.4421052631578948</v>
      </c>
      <c r="C33" s="113">
        <v>4.9894736842105267</v>
      </c>
      <c r="D33" s="119">
        <v>1.4495412844036699</v>
      </c>
      <c r="F33" s="121"/>
    </row>
    <row r="34" spans="1:6" x14ac:dyDescent="0.25">
      <c r="A34" s="112" t="s">
        <v>41</v>
      </c>
      <c r="B34" s="113">
        <v>21.621052631578948</v>
      </c>
      <c r="C34" s="113">
        <v>62.694736842105272</v>
      </c>
      <c r="D34" s="119">
        <v>2.8997078870496593</v>
      </c>
      <c r="F34" s="121"/>
    </row>
    <row r="35" spans="1:6" x14ac:dyDescent="0.25">
      <c r="A35" s="112" t="s">
        <v>19</v>
      </c>
      <c r="B35" s="113">
        <v>0</v>
      </c>
      <c r="C35" s="113">
        <v>25.831578947368421</v>
      </c>
      <c r="D35" s="119"/>
      <c r="F35" s="121"/>
    </row>
    <row r="36" spans="1:6" x14ac:dyDescent="0.25">
      <c r="A36" s="112" t="s">
        <v>13</v>
      </c>
      <c r="B36" s="113">
        <v>1.3473684210526318</v>
      </c>
      <c r="C36" s="113">
        <v>3.3368421052631581</v>
      </c>
      <c r="D36" s="119">
        <v>2.4765624999999996</v>
      </c>
      <c r="F36" s="121"/>
    </row>
    <row r="37" spans="1:6" x14ac:dyDescent="0.25">
      <c r="A37" s="112" t="s">
        <v>36</v>
      </c>
      <c r="B37" s="113">
        <v>16.494736842105265</v>
      </c>
      <c r="C37" s="113">
        <v>18.589473684210528</v>
      </c>
      <c r="D37" s="119">
        <v>1.1269942565411615</v>
      </c>
      <c r="F37" s="121"/>
    </row>
    <row r="38" spans="1:6" x14ac:dyDescent="0.25">
      <c r="A38" s="112" t="s">
        <v>40</v>
      </c>
      <c r="B38" s="113">
        <v>14.210526315789474</v>
      </c>
      <c r="C38" s="113">
        <v>8.5157894736842099</v>
      </c>
      <c r="D38" s="119">
        <v>0.59925925925925916</v>
      </c>
      <c r="F38" s="121"/>
    </row>
    <row r="39" spans="1:6" x14ac:dyDescent="0.25">
      <c r="A39" s="112" t="s">
        <v>38</v>
      </c>
      <c r="B39" s="113">
        <v>55.515789473684215</v>
      </c>
      <c r="C39" s="113">
        <v>12.147368421052631</v>
      </c>
      <c r="D39" s="119">
        <v>0.21880925293894574</v>
      </c>
      <c r="F39" s="121"/>
    </row>
    <row r="40" spans="1:6" x14ac:dyDescent="0.25">
      <c r="A40" s="112" t="s">
        <v>49</v>
      </c>
      <c r="B40" s="113">
        <v>1.2210526315789474</v>
      </c>
      <c r="C40" s="113">
        <v>2.0421052631578949</v>
      </c>
      <c r="D40" s="119">
        <v>1.6724137931034484</v>
      </c>
      <c r="F40" s="121"/>
    </row>
    <row r="41" spans="1:6" x14ac:dyDescent="0.25">
      <c r="A41" s="112" t="s">
        <v>4</v>
      </c>
      <c r="B41" s="113">
        <v>8.2200000000000006</v>
      </c>
      <c r="C41" s="113">
        <v>6.5789473684210531</v>
      </c>
      <c r="D41" s="119">
        <v>0.80035856063516453</v>
      </c>
      <c r="F41" s="121"/>
    </row>
    <row r="42" spans="1:6" x14ac:dyDescent="0.25">
      <c r="A42" s="112" t="s">
        <v>53</v>
      </c>
      <c r="B42" s="113">
        <v>6.9684210526315793</v>
      </c>
      <c r="C42" s="113">
        <v>8.5578947368421066</v>
      </c>
      <c r="D42" s="119">
        <v>1.2280966767371602</v>
      </c>
      <c r="F42" s="121"/>
    </row>
    <row r="43" spans="1:6" x14ac:dyDescent="0.25">
      <c r="A43" s="112" t="s">
        <v>50</v>
      </c>
      <c r="B43" s="113">
        <v>1.2</v>
      </c>
      <c r="C43" s="113">
        <v>2.1052631578947367</v>
      </c>
      <c r="D43" s="119">
        <v>1.7543859649122806</v>
      </c>
      <c r="F43" s="121"/>
    </row>
    <row r="44" spans="1:6" x14ac:dyDescent="0.25">
      <c r="A44" s="112" t="s">
        <v>28</v>
      </c>
      <c r="B44" s="113">
        <v>6.9473684210526319</v>
      </c>
      <c r="C44" s="113">
        <v>6.4526315789473685</v>
      </c>
      <c r="D44" s="119">
        <v>0.92878787878787872</v>
      </c>
      <c r="F44" s="121"/>
    </row>
    <row r="45" spans="1:6" x14ac:dyDescent="0.25">
      <c r="A45" s="112" t="s">
        <v>43</v>
      </c>
      <c r="B45" s="113">
        <v>0</v>
      </c>
      <c r="C45" s="113">
        <v>7.5578947368421057</v>
      </c>
      <c r="D45" s="119"/>
      <c r="F45" s="121"/>
    </row>
    <row r="46" spans="1:6" x14ac:dyDescent="0.25">
      <c r="A46" s="112" t="s">
        <v>32</v>
      </c>
      <c r="B46" s="113">
        <v>8.1263157894736846</v>
      </c>
      <c r="C46" s="113">
        <v>15.315789473684212</v>
      </c>
      <c r="D46" s="119">
        <v>1.8847150259067358</v>
      </c>
      <c r="F46" s="121"/>
    </row>
    <row r="47" spans="1:6" x14ac:dyDescent="0.25">
      <c r="A47" s="112" t="s">
        <v>35</v>
      </c>
      <c r="B47" s="113">
        <v>18.842105263157894</v>
      </c>
      <c r="C47" s="113">
        <v>23.989473684210527</v>
      </c>
      <c r="D47" s="119">
        <v>1.2731843575418995</v>
      </c>
      <c r="F47" s="121"/>
    </row>
    <row r="48" spans="1:6" x14ac:dyDescent="0.25">
      <c r="A48" s="112" t="s">
        <v>1</v>
      </c>
      <c r="B48" s="113">
        <v>39</v>
      </c>
      <c r="C48" s="113">
        <v>49.726315789473688</v>
      </c>
      <c r="D48" s="119">
        <v>1.275033738191633</v>
      </c>
      <c r="F48" s="121"/>
    </row>
    <row r="49" spans="1:6" x14ac:dyDescent="0.25">
      <c r="A49" s="112" t="s">
        <v>39</v>
      </c>
      <c r="B49" s="113">
        <v>1.168421052631579</v>
      </c>
      <c r="C49" s="113">
        <v>1.6105263157894738</v>
      </c>
      <c r="D49" s="119">
        <v>1.3783783783783783</v>
      </c>
      <c r="F49" s="121"/>
    </row>
    <row r="50" spans="1:6" x14ac:dyDescent="0.25">
      <c r="A50" s="112" t="s">
        <v>20</v>
      </c>
      <c r="B50" s="113">
        <v>3.1052631578947372</v>
      </c>
      <c r="C50" s="113">
        <v>4.7368421052631584</v>
      </c>
      <c r="D50" s="119">
        <v>1.5254237288135593</v>
      </c>
      <c r="F50" s="121"/>
    </row>
    <row r="51" spans="1:6" x14ac:dyDescent="0.25">
      <c r="A51" s="112" t="s">
        <v>34</v>
      </c>
      <c r="B51" s="113">
        <v>13.736842105263159</v>
      </c>
      <c r="C51" s="113">
        <v>14.663157894736843</v>
      </c>
      <c r="D51" s="119">
        <v>1.0674329501915709</v>
      </c>
      <c r="F51" s="121"/>
    </row>
    <row r="52" spans="1:6" x14ac:dyDescent="0.25">
      <c r="A52" s="112" t="s">
        <v>14</v>
      </c>
      <c r="B52" s="113">
        <v>1.7157894736842105</v>
      </c>
      <c r="C52" s="113">
        <v>4.4631578947368427</v>
      </c>
      <c r="D52" s="119">
        <v>2.6012269938650312</v>
      </c>
      <c r="F52" s="121"/>
    </row>
    <row r="53" spans="1:6" x14ac:dyDescent="0.25">
      <c r="A53" s="112" t="s">
        <v>3</v>
      </c>
      <c r="B53" s="113">
        <v>5.1684210526315795</v>
      </c>
      <c r="C53" s="113">
        <v>7.6842105263157894</v>
      </c>
      <c r="D53" s="119">
        <v>1.4867617107942972</v>
      </c>
      <c r="F53" s="121"/>
    </row>
    <row r="54" spans="1:6" x14ac:dyDescent="0.25">
      <c r="A54" s="112" t="s">
        <v>54</v>
      </c>
      <c r="B54" s="113">
        <v>2.9052631578947365</v>
      </c>
      <c r="C54" s="113">
        <v>4.9263157894736844</v>
      </c>
      <c r="D54" s="119">
        <v>1.6956521739130437</v>
      </c>
      <c r="F54" s="121"/>
    </row>
    <row r="55" spans="1:6" x14ac:dyDescent="0.25">
      <c r="A55" s="112" t="s">
        <v>24</v>
      </c>
      <c r="B55" s="113">
        <v>1.4736842105263157</v>
      </c>
      <c r="C55" s="113">
        <v>4.1368421052631579</v>
      </c>
      <c r="D55" s="119">
        <v>2.8071428571428574</v>
      </c>
      <c r="F55" s="121"/>
    </row>
    <row r="56" spans="1:6" x14ac:dyDescent="0.25">
      <c r="A56" s="112" t="s">
        <v>37</v>
      </c>
      <c r="B56" s="113">
        <v>16.757894736842108</v>
      </c>
      <c r="C56" s="113">
        <v>22.294736842105262</v>
      </c>
      <c r="D56" s="119">
        <v>1.3304020100502509</v>
      </c>
      <c r="F56" s="121"/>
    </row>
    <row r="57" spans="1:6" ht="15.75" thickBot="1" x14ac:dyDescent="0.3">
      <c r="A57" s="114" t="s">
        <v>29</v>
      </c>
      <c r="B57" s="115">
        <v>21.421052631578949</v>
      </c>
      <c r="C57" s="115">
        <v>23.052631578947366</v>
      </c>
      <c r="D57" s="120">
        <v>1.0761670761670761</v>
      </c>
      <c r="F57" s="121"/>
    </row>
    <row r="58" spans="1:6" ht="15.75" thickBot="1" x14ac:dyDescent="0.3">
      <c r="A58" s="286" t="s">
        <v>95</v>
      </c>
      <c r="B58" s="287"/>
      <c r="C58" s="287"/>
      <c r="D58" s="116">
        <f>AVERAGE(D2:D57)</f>
        <v>1.817590298402245</v>
      </c>
      <c r="F58" s="117"/>
    </row>
  </sheetData>
  <mergeCells count="1">
    <mergeCell ref="A58:C5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132CD-0E78-4F39-9E1F-FE515429CBF1}">
  <dimension ref="A1:AO19"/>
  <sheetViews>
    <sheetView workbookViewId="0">
      <selection activeCell="R19" sqref="A11:R19"/>
    </sheetView>
  </sheetViews>
  <sheetFormatPr defaultRowHeight="15" x14ac:dyDescent="0.25"/>
  <cols>
    <col min="1" max="1" width="20.28515625" style="149" customWidth="1"/>
    <col min="2" max="12" width="9.140625" style="149"/>
    <col min="13" max="13" width="10" style="149" bestFit="1" customWidth="1"/>
    <col min="14" max="17" width="9.140625" style="149"/>
    <col min="18" max="18" width="10" style="149" bestFit="1" customWidth="1"/>
    <col min="19" max="16384" width="9.140625" style="149"/>
  </cols>
  <sheetData>
    <row r="1" spans="1:41" ht="15.75" thickBot="1" x14ac:dyDescent="0.3">
      <c r="A1" s="290"/>
      <c r="B1" s="286" t="s">
        <v>131</v>
      </c>
      <c r="C1" s="287"/>
      <c r="D1" s="287"/>
      <c r="E1" s="287"/>
      <c r="F1" s="287"/>
      <c r="G1" s="287"/>
      <c r="H1" s="292"/>
      <c r="I1" s="286" t="s">
        <v>133</v>
      </c>
      <c r="J1" s="287"/>
      <c r="K1" s="287"/>
      <c r="L1" s="292"/>
      <c r="M1" s="296" t="s">
        <v>209</v>
      </c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41" ht="15.75" thickBot="1" x14ac:dyDescent="0.3">
      <c r="A2" s="291"/>
      <c r="B2" s="240" t="s">
        <v>118</v>
      </c>
      <c r="C2" s="232" t="s">
        <v>119</v>
      </c>
      <c r="D2" s="232" t="s">
        <v>120</v>
      </c>
      <c r="E2" s="232" t="s">
        <v>121</v>
      </c>
      <c r="F2" s="232" t="s">
        <v>122</v>
      </c>
      <c r="G2" s="232" t="s">
        <v>123</v>
      </c>
      <c r="H2" s="233" t="s">
        <v>124</v>
      </c>
      <c r="I2" s="240" t="s">
        <v>105</v>
      </c>
      <c r="J2" s="232" t="s">
        <v>106</v>
      </c>
      <c r="K2" s="232" t="s">
        <v>107</v>
      </c>
      <c r="L2" s="233" t="s">
        <v>108</v>
      </c>
      <c r="M2" s="297"/>
      <c r="V2" s="149" t="s">
        <v>109</v>
      </c>
      <c r="W2" s="149" t="s">
        <v>110</v>
      </c>
      <c r="X2" s="149" t="s">
        <v>111</v>
      </c>
      <c r="Y2" s="149" t="s">
        <v>112</v>
      </c>
      <c r="Z2" s="149" t="s">
        <v>113</v>
      </c>
      <c r="AA2" s="149" t="s">
        <v>114</v>
      </c>
      <c r="AB2" s="149" t="s">
        <v>115</v>
      </c>
      <c r="AC2" s="149" t="s">
        <v>116</v>
      </c>
      <c r="AD2" s="149" t="s">
        <v>117</v>
      </c>
      <c r="AE2" s="149" t="s">
        <v>105</v>
      </c>
      <c r="AF2" s="149" t="s">
        <v>106</v>
      </c>
      <c r="AG2" s="149" t="s">
        <v>107</v>
      </c>
      <c r="AH2" s="149" t="s">
        <v>108</v>
      </c>
      <c r="AI2" s="149" t="s">
        <v>102</v>
      </c>
      <c r="AJ2" s="149" t="s">
        <v>103</v>
      </c>
      <c r="AK2" s="149" t="s">
        <v>104</v>
      </c>
      <c r="AL2" s="149" t="s">
        <v>98</v>
      </c>
      <c r="AM2" s="149" t="s">
        <v>99</v>
      </c>
      <c r="AN2" s="149" t="s">
        <v>100</v>
      </c>
      <c r="AO2" s="149" t="s">
        <v>101</v>
      </c>
    </row>
    <row r="3" spans="1:41" ht="15.75" thickBot="1" x14ac:dyDescent="0.3">
      <c r="A3" s="237" t="s">
        <v>208</v>
      </c>
      <c r="B3" s="234">
        <v>7.0330150863639673E-3</v>
      </c>
      <c r="C3" s="255">
        <v>2.4324028860870199E-2</v>
      </c>
      <c r="D3" s="255">
        <v>6.6421908024196494E-2</v>
      </c>
      <c r="E3" s="255">
        <v>5.9534654908534365E-2</v>
      </c>
      <c r="F3" s="255">
        <v>8.1799795933241021E-2</v>
      </c>
      <c r="G3" s="255">
        <v>3.9246410611471466E-2</v>
      </c>
      <c r="H3" s="256">
        <v>9.693171051672618E-3</v>
      </c>
      <c r="I3" s="234">
        <v>2.4925296990015305E-2</v>
      </c>
      <c r="J3" s="255">
        <v>8.6564390350557546E-2</v>
      </c>
      <c r="K3" s="255">
        <v>0.41070257269878291</v>
      </c>
      <c r="L3" s="256">
        <v>0.18975475548429416</v>
      </c>
      <c r="M3" s="243">
        <f>SUM(B3:L3)</f>
        <v>1</v>
      </c>
    </row>
    <row r="4" spans="1:41" x14ac:dyDescent="0.25">
      <c r="A4" s="238" t="s">
        <v>210</v>
      </c>
      <c r="B4" s="236">
        <v>563.57000000000005</v>
      </c>
      <c r="C4" s="257">
        <v>458.35</v>
      </c>
      <c r="D4" s="46">
        <v>458.35</v>
      </c>
      <c r="E4" s="46">
        <v>694.04</v>
      </c>
      <c r="F4" s="46">
        <v>281.86</v>
      </c>
      <c r="G4" s="46">
        <v>563.57000000000005</v>
      </c>
      <c r="H4" s="47">
        <v>614.34</v>
      </c>
      <c r="I4" s="230">
        <v>281.86</v>
      </c>
      <c r="J4" s="46">
        <v>60.29</v>
      </c>
      <c r="K4" s="46">
        <v>0</v>
      </c>
      <c r="L4" s="47">
        <v>0</v>
      </c>
      <c r="M4" s="244"/>
    </row>
    <row r="5" spans="1:41" ht="15.75" thickBot="1" x14ac:dyDescent="0.3">
      <c r="A5" s="239" t="s">
        <v>213</v>
      </c>
      <c r="B5" s="241">
        <v>3.9635963122221414</v>
      </c>
      <c r="C5" s="231">
        <v>11.148918628379857</v>
      </c>
      <c r="D5" s="231">
        <v>30.444481542890465</v>
      </c>
      <c r="E5" s="231">
        <v>41.319431892719187</v>
      </c>
      <c r="F5" s="231">
        <v>23.056090481743315</v>
      </c>
      <c r="G5" s="231">
        <v>22.118099628306975</v>
      </c>
      <c r="H5" s="242">
        <v>5.9549027038845566</v>
      </c>
      <c r="I5" s="241">
        <v>7.0254442096057144</v>
      </c>
      <c r="J5" s="231">
        <v>5.2189670942351141</v>
      </c>
      <c r="K5" s="231">
        <v>0</v>
      </c>
      <c r="L5" s="242">
        <v>0</v>
      </c>
      <c r="M5" s="245">
        <f>SUM(B5:L5)</f>
        <v>150.24993249398733</v>
      </c>
    </row>
    <row r="6" spans="1:41" x14ac:dyDescent="0.25">
      <c r="A6" s="133" t="s">
        <v>211</v>
      </c>
      <c r="B6" s="236">
        <v>51.28</v>
      </c>
      <c r="C6" s="46">
        <v>51.28</v>
      </c>
      <c r="D6" s="46">
        <v>51.28</v>
      </c>
      <c r="E6" s="46">
        <v>51.28</v>
      </c>
      <c r="F6" s="46">
        <v>51.28</v>
      </c>
      <c r="G6" s="46">
        <v>51.28</v>
      </c>
      <c r="H6" s="47">
        <v>51.28</v>
      </c>
      <c r="I6" s="236">
        <v>51.28</v>
      </c>
      <c r="J6" s="46">
        <v>0</v>
      </c>
      <c r="K6" s="46">
        <v>51.28</v>
      </c>
      <c r="L6" s="47">
        <v>51.28</v>
      </c>
      <c r="M6" s="244"/>
    </row>
    <row r="7" spans="1:41" ht="15.75" thickBot="1" x14ac:dyDescent="0.3">
      <c r="A7" s="239" t="s">
        <v>213</v>
      </c>
      <c r="B7" s="241">
        <v>0.36065301362874425</v>
      </c>
      <c r="C7" s="231">
        <v>1.2473361999854238</v>
      </c>
      <c r="D7" s="231">
        <v>3.4061154434807963</v>
      </c>
      <c r="E7" s="231">
        <v>3.0529371037096422</v>
      </c>
      <c r="F7" s="231">
        <v>4.1946935354566</v>
      </c>
      <c r="G7" s="231">
        <v>2.0125559361562568</v>
      </c>
      <c r="H7" s="242">
        <v>0.49706581152977186</v>
      </c>
      <c r="I7" s="241">
        <v>1.278169229647985</v>
      </c>
      <c r="J7" s="231">
        <v>0</v>
      </c>
      <c r="K7" s="231">
        <v>21.060827927993589</v>
      </c>
      <c r="L7" s="242">
        <v>9.730623861234605</v>
      </c>
      <c r="M7" s="245">
        <f>SUM(B7:L7)</f>
        <v>46.840978062823417</v>
      </c>
    </row>
    <row r="8" spans="1:41" x14ac:dyDescent="0.25">
      <c r="A8" s="133" t="s">
        <v>212</v>
      </c>
      <c r="B8" s="236">
        <v>74.7</v>
      </c>
      <c r="C8" s="46">
        <v>74.7</v>
      </c>
      <c r="D8" s="46">
        <v>74.7</v>
      </c>
      <c r="E8" s="46">
        <v>74.7</v>
      </c>
      <c r="F8" s="46">
        <v>74.7</v>
      </c>
      <c r="G8" s="46">
        <v>74.7</v>
      </c>
      <c r="H8" s="47">
        <v>74.7</v>
      </c>
      <c r="I8" s="236">
        <v>51.41</v>
      </c>
      <c r="J8" s="46">
        <v>50.95</v>
      </c>
      <c r="K8" s="46">
        <v>50.43</v>
      </c>
      <c r="L8" s="47">
        <v>49.91</v>
      </c>
      <c r="M8" s="244"/>
    </row>
    <row r="9" spans="1:41" ht="15.75" thickBot="1" x14ac:dyDescent="0.3">
      <c r="A9" s="239" t="s">
        <v>213</v>
      </c>
      <c r="B9" s="241">
        <v>0.52536622695138835</v>
      </c>
      <c r="C9" s="231">
        <v>1.8170049559070038</v>
      </c>
      <c r="D9" s="231">
        <v>4.9617165294074779</v>
      </c>
      <c r="E9" s="231">
        <v>4.4472387216675173</v>
      </c>
      <c r="F9" s="231">
        <v>6.1104447562131048</v>
      </c>
      <c r="G9" s="231">
        <v>2.9317068726769184</v>
      </c>
      <c r="H9" s="242">
        <v>0.72407987755994463</v>
      </c>
      <c r="I9" s="241">
        <v>1.2814095182566867</v>
      </c>
      <c r="J9" s="231">
        <v>4.4104556883609076</v>
      </c>
      <c r="K9" s="231">
        <v>20.711730741199624</v>
      </c>
      <c r="L9" s="242">
        <v>9.4706598462211211</v>
      </c>
      <c r="M9" s="245">
        <f>SUM(B9:L9)</f>
        <v>57.391813734421703</v>
      </c>
    </row>
    <row r="10" spans="1:41" ht="15.75" thickBot="1" x14ac:dyDescent="0.3"/>
    <row r="11" spans="1:41" ht="15.75" thickBot="1" x14ac:dyDescent="0.3">
      <c r="A11" s="290"/>
      <c r="B11" s="293" t="s">
        <v>132</v>
      </c>
      <c r="C11" s="294"/>
      <c r="D11" s="294"/>
      <c r="E11" s="294"/>
      <c r="F11" s="294"/>
      <c r="G11" s="294"/>
      <c r="H11" s="294"/>
      <c r="I11" s="294"/>
      <c r="J11" s="295"/>
      <c r="K11" s="293" t="s">
        <v>134</v>
      </c>
      <c r="L11" s="294"/>
      <c r="M11" s="295"/>
      <c r="N11" s="293" t="s">
        <v>135</v>
      </c>
      <c r="O11" s="294"/>
      <c r="P11" s="294"/>
      <c r="Q11" s="295"/>
      <c r="R11" s="288" t="s">
        <v>209</v>
      </c>
    </row>
    <row r="12" spans="1:41" ht="15.75" thickBot="1" x14ac:dyDescent="0.3">
      <c r="A12" s="291"/>
      <c r="B12" s="246" t="s">
        <v>109</v>
      </c>
      <c r="C12" s="247" t="s">
        <v>110</v>
      </c>
      <c r="D12" s="247" t="s">
        <v>111</v>
      </c>
      <c r="E12" s="247" t="s">
        <v>112</v>
      </c>
      <c r="F12" s="247" t="s">
        <v>113</v>
      </c>
      <c r="G12" s="247" t="s">
        <v>114</v>
      </c>
      <c r="H12" s="247" t="s">
        <v>115</v>
      </c>
      <c r="I12" s="247" t="s">
        <v>116</v>
      </c>
      <c r="J12" s="248" t="s">
        <v>117</v>
      </c>
      <c r="K12" s="246" t="s">
        <v>102</v>
      </c>
      <c r="L12" s="247" t="s">
        <v>103</v>
      </c>
      <c r="M12" s="248" t="s">
        <v>104</v>
      </c>
      <c r="N12" s="246" t="s">
        <v>98</v>
      </c>
      <c r="O12" s="247" t="s">
        <v>99</v>
      </c>
      <c r="P12" s="247" t="s">
        <v>100</v>
      </c>
      <c r="Q12" s="248" t="s">
        <v>101</v>
      </c>
      <c r="R12" s="289"/>
    </row>
    <row r="13" spans="1:41" ht="15.75" thickBot="1" x14ac:dyDescent="0.3">
      <c r="A13" s="237" t="s">
        <v>208</v>
      </c>
      <c r="B13" s="249">
        <v>1.4546620727084344E-2</v>
      </c>
      <c r="C13" s="250">
        <v>5.8449621327368861E-2</v>
      </c>
      <c r="D13" s="250">
        <v>5.5226175694233159E-2</v>
      </c>
      <c r="E13" s="250">
        <v>2.920014143690023E-2</v>
      </c>
      <c r="F13" s="250">
        <v>2.4315634533628269E-2</v>
      </c>
      <c r="G13" s="250">
        <v>5.4264075849649283E-2</v>
      </c>
      <c r="H13" s="250">
        <v>1.7326020278104416E-2</v>
      </c>
      <c r="I13" s="250">
        <v>2.3814026922349497E-2</v>
      </c>
      <c r="J13" s="251">
        <v>1.0813344407075135E-2</v>
      </c>
      <c r="K13" s="249">
        <v>4.486510044486839E-2</v>
      </c>
      <c r="L13" s="250">
        <v>5.5382414130533103E-2</v>
      </c>
      <c r="M13" s="251">
        <v>3.4931625126429784E-2</v>
      </c>
      <c r="N13" s="249">
        <v>0.50732264881711053</v>
      </c>
      <c r="O13" s="250">
        <v>3.3254117705104065E-2</v>
      </c>
      <c r="P13" s="250">
        <v>2.1454004226660855E-2</v>
      </c>
      <c r="Q13" s="251">
        <v>1.4834428372900032E-2</v>
      </c>
      <c r="R13" s="258">
        <f>SUM(B13:Q13)</f>
        <v>1</v>
      </c>
    </row>
    <row r="14" spans="1:41" x14ac:dyDescent="0.25">
      <c r="A14" s="238" t="s">
        <v>210</v>
      </c>
      <c r="B14" s="230">
        <v>281.86</v>
      </c>
      <c r="C14" s="46">
        <v>203.41</v>
      </c>
      <c r="D14" s="46">
        <v>230.27</v>
      </c>
      <c r="E14" s="257">
        <v>281.86</v>
      </c>
      <c r="F14" s="46">
        <v>281.86</v>
      </c>
      <c r="G14" s="46">
        <v>230.27</v>
      </c>
      <c r="H14" s="46">
        <v>665.91</v>
      </c>
      <c r="I14" s="46">
        <v>281.86</v>
      </c>
      <c r="J14" s="259">
        <v>281.86</v>
      </c>
      <c r="K14" s="230">
        <v>126.52</v>
      </c>
      <c r="L14" s="46">
        <v>122.45</v>
      </c>
      <c r="M14" s="47">
        <v>116.22</v>
      </c>
      <c r="N14" s="236">
        <v>97.07</v>
      </c>
      <c r="O14" s="46">
        <v>125.77</v>
      </c>
      <c r="P14" s="46">
        <v>97.53</v>
      </c>
      <c r="Q14" s="47">
        <v>203.41</v>
      </c>
      <c r="R14" s="260"/>
    </row>
    <row r="15" spans="1:41" ht="15.75" thickBot="1" x14ac:dyDescent="0.3">
      <c r="A15" s="239" t="s">
        <v>213</v>
      </c>
      <c r="B15" s="241">
        <v>4.1001105181359936</v>
      </c>
      <c r="C15" s="231">
        <v>11.889237474200099</v>
      </c>
      <c r="D15" s="231">
        <v>12.71693147711107</v>
      </c>
      <c r="E15" s="231">
        <v>8.2303518654046997</v>
      </c>
      <c r="F15" s="231">
        <v>6.853604749648464</v>
      </c>
      <c r="G15" s="231">
        <v>12.49538874589874</v>
      </c>
      <c r="H15" s="231">
        <v>11.537570163392511</v>
      </c>
      <c r="I15" s="231">
        <v>6.7122216283334293</v>
      </c>
      <c r="J15" s="242">
        <v>3.0478492545781974</v>
      </c>
      <c r="K15" s="241">
        <v>5.6763325082847489</v>
      </c>
      <c r="L15" s="231">
        <v>6.7815766102837785</v>
      </c>
      <c r="M15" s="242">
        <v>4.0597534721936697</v>
      </c>
      <c r="N15" s="241">
        <v>49.245809520676914</v>
      </c>
      <c r="O15" s="231">
        <v>4.1823703837709383</v>
      </c>
      <c r="P15" s="231">
        <v>2.0924090322262332</v>
      </c>
      <c r="Q15" s="242">
        <v>3.0174710753315956</v>
      </c>
      <c r="R15" s="261">
        <f t="shared" ref="R15:R19" si="0">SUM(B15:Q15)</f>
        <v>152.6389884794711</v>
      </c>
    </row>
    <row r="16" spans="1:41" x14ac:dyDescent="0.25">
      <c r="A16" s="133" t="s">
        <v>211</v>
      </c>
      <c r="B16" s="236">
        <v>51.28</v>
      </c>
      <c r="C16" s="46">
        <v>51.28</v>
      </c>
      <c r="D16" s="46">
        <v>51.28</v>
      </c>
      <c r="E16" s="46">
        <v>51.28</v>
      </c>
      <c r="F16" s="46">
        <v>51.28</v>
      </c>
      <c r="G16" s="46">
        <v>51.28</v>
      </c>
      <c r="H16" s="46">
        <v>51.28</v>
      </c>
      <c r="I16" s="46">
        <v>51.28</v>
      </c>
      <c r="J16" s="47">
        <v>51.28</v>
      </c>
      <c r="K16" s="236">
        <v>51.28</v>
      </c>
      <c r="L16" s="46">
        <v>51.28</v>
      </c>
      <c r="M16" s="47">
        <v>51.28</v>
      </c>
      <c r="N16" s="236">
        <v>0</v>
      </c>
      <c r="O16" s="46">
        <v>51.28</v>
      </c>
      <c r="P16" s="46">
        <v>51.28</v>
      </c>
      <c r="Q16" s="47">
        <v>51.28</v>
      </c>
      <c r="R16" s="260"/>
    </row>
    <row r="17" spans="1:18" ht="15.75" thickBot="1" x14ac:dyDescent="0.3">
      <c r="A17" s="239" t="s">
        <v>213</v>
      </c>
      <c r="B17" s="241">
        <v>0.74595071088488518</v>
      </c>
      <c r="C17" s="231">
        <v>2.9972965816674755</v>
      </c>
      <c r="D17" s="231">
        <v>2.8319982896002767</v>
      </c>
      <c r="E17" s="231">
        <v>1.4973832528842439</v>
      </c>
      <c r="F17" s="231">
        <v>1.2469057388844578</v>
      </c>
      <c r="G17" s="231">
        <v>2.7826618095700155</v>
      </c>
      <c r="H17" s="231">
        <v>0.88847831986119441</v>
      </c>
      <c r="I17" s="231">
        <v>1.2211833005780823</v>
      </c>
      <c r="J17" s="242">
        <v>0.55450830119481287</v>
      </c>
      <c r="K17" s="241">
        <v>2.3006823508128509</v>
      </c>
      <c r="L17" s="231">
        <v>2.8400101966137377</v>
      </c>
      <c r="M17" s="242">
        <v>1.7912937364833195</v>
      </c>
      <c r="N17" s="241">
        <v>0</v>
      </c>
      <c r="O17" s="231">
        <v>1.7052711559177365</v>
      </c>
      <c r="P17" s="231">
        <v>1.1001613367431686</v>
      </c>
      <c r="Q17" s="242">
        <v>0.76070948696231366</v>
      </c>
      <c r="R17" s="261">
        <f t="shared" si="0"/>
        <v>25.26449456865857</v>
      </c>
    </row>
    <row r="18" spans="1:18" x14ac:dyDescent="0.25">
      <c r="A18" s="252" t="s">
        <v>212</v>
      </c>
      <c r="B18" s="235">
        <v>68.099999999999994</v>
      </c>
      <c r="C18" s="55">
        <v>68.099999999999994</v>
      </c>
      <c r="D18" s="55">
        <v>68.099999999999994</v>
      </c>
      <c r="E18" s="55">
        <v>68.099999999999994</v>
      </c>
      <c r="F18" s="55">
        <v>68.099999999999994</v>
      </c>
      <c r="G18" s="55">
        <v>68.099999999999994</v>
      </c>
      <c r="H18" s="55">
        <v>68.099999999999994</v>
      </c>
      <c r="I18" s="55">
        <v>68.099999999999994</v>
      </c>
      <c r="J18" s="75">
        <v>68.099999999999994</v>
      </c>
      <c r="K18" s="235">
        <v>49.97</v>
      </c>
      <c r="L18" s="55">
        <v>50.95</v>
      </c>
      <c r="M18" s="75">
        <v>50.43</v>
      </c>
      <c r="N18" s="235">
        <v>50.95</v>
      </c>
      <c r="O18" s="55">
        <v>50.95</v>
      </c>
      <c r="P18" s="55">
        <v>53.36</v>
      </c>
      <c r="Q18" s="75">
        <v>53.36</v>
      </c>
      <c r="R18" s="262"/>
    </row>
    <row r="19" spans="1:18" ht="15.75" thickBot="1" x14ac:dyDescent="0.3">
      <c r="A19" s="239" t="s">
        <v>213</v>
      </c>
      <c r="B19" s="241">
        <v>0.99062487151444378</v>
      </c>
      <c r="C19" s="231">
        <v>3.9804192123938194</v>
      </c>
      <c r="D19" s="231">
        <v>3.760902564777278</v>
      </c>
      <c r="E19" s="231">
        <v>1.9885296318529055</v>
      </c>
      <c r="F19" s="231">
        <v>1.6558947117400851</v>
      </c>
      <c r="G19" s="231">
        <v>3.6953835653611158</v>
      </c>
      <c r="H19" s="231">
        <v>1.1799019809389106</v>
      </c>
      <c r="I19" s="231">
        <v>1.6217352334120005</v>
      </c>
      <c r="J19" s="242">
        <v>0.73638875412181659</v>
      </c>
      <c r="K19" s="241">
        <v>2.2419090692300734</v>
      </c>
      <c r="L19" s="231">
        <v>2.8217339999506619</v>
      </c>
      <c r="M19" s="242">
        <v>1.7616018551258541</v>
      </c>
      <c r="N19" s="241">
        <v>25.848088957231784</v>
      </c>
      <c r="O19" s="231">
        <v>1.6942972970750523</v>
      </c>
      <c r="P19" s="231">
        <v>1.1447856655346231</v>
      </c>
      <c r="Q19" s="242">
        <v>0.79156509797794572</v>
      </c>
      <c r="R19" s="261">
        <f t="shared" si="0"/>
        <v>55.913762468238367</v>
      </c>
    </row>
  </sheetData>
  <mergeCells count="9">
    <mergeCell ref="R11:R12"/>
    <mergeCell ref="A1:A2"/>
    <mergeCell ref="A11:A12"/>
    <mergeCell ref="I1:L1"/>
    <mergeCell ref="B1:H1"/>
    <mergeCell ref="N11:Q11"/>
    <mergeCell ref="K11:M11"/>
    <mergeCell ref="B11:J11"/>
    <mergeCell ref="M1:M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1D1B3-ED97-4FD3-A891-FCA3892B7206}">
  <dimension ref="A1:F59"/>
  <sheetViews>
    <sheetView tabSelected="1" workbookViewId="0">
      <selection activeCell="G10" sqref="G10"/>
    </sheetView>
  </sheetViews>
  <sheetFormatPr defaultRowHeight="15" x14ac:dyDescent="0.25"/>
  <cols>
    <col min="1" max="1" width="24.7109375" bestFit="1" customWidth="1"/>
    <col min="2" max="2" width="16.85546875" customWidth="1"/>
    <col min="3" max="4" width="13.7109375" customWidth="1"/>
    <col min="5" max="5" width="15.7109375" bestFit="1" customWidth="1"/>
    <col min="6" max="6" width="27.85546875" customWidth="1"/>
  </cols>
  <sheetData>
    <row r="1" spans="1:6" ht="30.75" thickBot="1" x14ac:dyDescent="0.3">
      <c r="A1" s="229" t="s">
        <v>0</v>
      </c>
      <c r="B1" s="269" t="s">
        <v>58</v>
      </c>
      <c r="C1" s="270" t="s">
        <v>63</v>
      </c>
      <c r="D1" s="270" t="s">
        <v>62</v>
      </c>
      <c r="E1" s="270" t="s">
        <v>69</v>
      </c>
      <c r="F1" s="271" t="s">
        <v>215</v>
      </c>
    </row>
    <row r="2" spans="1:6" ht="30" x14ac:dyDescent="0.25">
      <c r="A2" s="254" t="s">
        <v>1</v>
      </c>
      <c r="B2" s="236">
        <v>7.9885661509507717E-3</v>
      </c>
      <c r="C2" s="272">
        <v>39</v>
      </c>
      <c r="D2" s="272">
        <v>49.726315789473688</v>
      </c>
      <c r="E2" s="45">
        <v>1.275033738191633</v>
      </c>
      <c r="F2" s="273">
        <v>1.0185691362237908E-2</v>
      </c>
    </row>
    <row r="3" spans="1:6" x14ac:dyDescent="0.25">
      <c r="A3" s="274" t="s">
        <v>2</v>
      </c>
      <c r="B3" s="224">
        <v>5.5982326579868773E-4</v>
      </c>
      <c r="C3" s="15">
        <v>0.24950000000000003</v>
      </c>
      <c r="D3" s="15">
        <v>0.30526315789473685</v>
      </c>
      <c r="E3" s="83">
        <v>1.2234996308406285</v>
      </c>
      <c r="F3" s="130">
        <v>6.8494355904068953E-4</v>
      </c>
    </row>
    <row r="4" spans="1:6" x14ac:dyDescent="0.25">
      <c r="A4" s="274" t="s">
        <v>3</v>
      </c>
      <c r="B4" s="224">
        <v>2.1678667118501188E-3</v>
      </c>
      <c r="C4" s="15">
        <v>5.1684210526315795</v>
      </c>
      <c r="D4" s="15">
        <v>7.6842105263157894</v>
      </c>
      <c r="E4" s="83">
        <v>1.4867617107942972</v>
      </c>
      <c r="F4" s="130">
        <v>3.2231012212842903E-3</v>
      </c>
    </row>
    <row r="5" spans="1:6" x14ac:dyDescent="0.25">
      <c r="A5" s="274" t="s">
        <v>4</v>
      </c>
      <c r="B5" s="224">
        <v>3.1503436682768578E-3</v>
      </c>
      <c r="C5" s="15">
        <v>8.2200000000000006</v>
      </c>
      <c r="D5" s="15">
        <v>6.5789473684210531</v>
      </c>
      <c r="E5" s="83">
        <v>0.80035856063516453</v>
      </c>
      <c r="F5" s="130">
        <v>2.5214045238481702E-3</v>
      </c>
    </row>
    <row r="6" spans="1:6" x14ac:dyDescent="0.25">
      <c r="A6" s="274" t="s">
        <v>5</v>
      </c>
      <c r="B6" s="224">
        <v>1.2513663395298E-2</v>
      </c>
      <c r="C6" s="15">
        <v>2.1894736842105265</v>
      </c>
      <c r="D6" s="15">
        <v>6.957894736842106</v>
      </c>
      <c r="E6" s="83">
        <v>3.1778846153846154</v>
      </c>
      <c r="F6" s="130">
        <v>3.9766978386019128E-2</v>
      </c>
    </row>
    <row r="7" spans="1:6" ht="30" x14ac:dyDescent="0.25">
      <c r="A7" s="274" t="s">
        <v>6</v>
      </c>
      <c r="B7" s="224">
        <v>2.3764022865687181E-3</v>
      </c>
      <c r="C7" s="15">
        <v>0.5368421052631579</v>
      </c>
      <c r="D7" s="15">
        <v>1.3894736842105264</v>
      </c>
      <c r="E7" s="83">
        <v>2.5882352941176472</v>
      </c>
      <c r="F7" s="130">
        <v>6.1506882711190357E-3</v>
      </c>
    </row>
    <row r="8" spans="1:6" x14ac:dyDescent="0.25">
      <c r="A8" s="274" t="s">
        <v>7</v>
      </c>
      <c r="B8" s="224">
        <v>5.5454047186456447E-2</v>
      </c>
      <c r="C8" s="15">
        <v>20</v>
      </c>
      <c r="D8" s="15">
        <v>41.684210526315795</v>
      </c>
      <c r="E8" s="83">
        <v>2.0842105263157897</v>
      </c>
      <c r="F8" s="130">
        <v>0.11557790887282503</v>
      </c>
    </row>
    <row r="9" spans="1:6" x14ac:dyDescent="0.25">
      <c r="A9" s="274" t="s">
        <v>8</v>
      </c>
      <c r="B9" s="224">
        <v>2.1095492736712351E-2</v>
      </c>
      <c r="C9" s="15">
        <v>0.45263157894736844</v>
      </c>
      <c r="D9" s="15">
        <v>0.98947368421052628</v>
      </c>
      <c r="E9" s="83">
        <v>2.1860465116279069</v>
      </c>
      <c r="F9" s="130">
        <v>4.611572830816188E-2</v>
      </c>
    </row>
    <row r="10" spans="1:6" ht="30" x14ac:dyDescent="0.25">
      <c r="A10" s="274" t="s">
        <v>9</v>
      </c>
      <c r="B10" s="224">
        <v>1.58456156783512E-3</v>
      </c>
      <c r="C10" s="15">
        <v>0.4631578947368421</v>
      </c>
      <c r="D10" s="15">
        <v>0.82105263157894748</v>
      </c>
      <c r="E10" s="83">
        <v>1.7727272727272729</v>
      </c>
      <c r="F10" s="130">
        <v>2.808995506616804E-3</v>
      </c>
    </row>
    <row r="11" spans="1:6" x14ac:dyDescent="0.25">
      <c r="A11" s="274" t="s">
        <v>10</v>
      </c>
      <c r="B11" s="224">
        <v>1.6604288055504931E-3</v>
      </c>
      <c r="C11" s="15">
        <v>1.463157894736842</v>
      </c>
      <c r="D11" s="15">
        <v>4.2736842105263158</v>
      </c>
      <c r="E11" s="83">
        <v>2.920863309352518</v>
      </c>
      <c r="F11" s="130">
        <v>4.8498855759244617E-3</v>
      </c>
    </row>
    <row r="12" spans="1:6" x14ac:dyDescent="0.25">
      <c r="A12" s="274" t="s">
        <v>11</v>
      </c>
      <c r="B12" s="224">
        <v>1.019852321165339E-2</v>
      </c>
      <c r="C12" s="15">
        <v>0.83157894736842108</v>
      </c>
      <c r="D12" s="15">
        <v>2.8105263157894735</v>
      </c>
      <c r="E12" s="83">
        <v>3.3797468354430378</v>
      </c>
      <c r="F12" s="130">
        <v>3.4468426550777913E-2</v>
      </c>
    </row>
    <row r="13" spans="1:6" x14ac:dyDescent="0.25">
      <c r="A13" s="274" t="s">
        <v>12</v>
      </c>
      <c r="B13" s="224">
        <v>2.552981584956958E-3</v>
      </c>
      <c r="C13" s="15">
        <v>3.2</v>
      </c>
      <c r="D13" s="15">
        <v>3.9789473684210526</v>
      </c>
      <c r="E13" s="83">
        <v>1.2434210526315788</v>
      </c>
      <c r="F13" s="130">
        <v>3.1744310497162169E-3</v>
      </c>
    </row>
    <row r="14" spans="1:6" x14ac:dyDescent="0.25">
      <c r="A14" s="274" t="s">
        <v>13</v>
      </c>
      <c r="B14" s="224">
        <v>1.1738877088436619E-3</v>
      </c>
      <c r="C14" s="15">
        <v>1.3473684210526318</v>
      </c>
      <c r="D14" s="15">
        <v>3.3368421052631581</v>
      </c>
      <c r="E14" s="83">
        <v>2.4765624999999996</v>
      </c>
      <c r="F14" s="130">
        <v>2.9072062789331308E-3</v>
      </c>
    </row>
    <row r="15" spans="1:6" x14ac:dyDescent="0.25">
      <c r="A15" s="274" t="s">
        <v>14</v>
      </c>
      <c r="B15" s="224">
        <v>5.0463154775503552E-4</v>
      </c>
      <c r="C15" s="15">
        <v>1.7157894736842105</v>
      </c>
      <c r="D15" s="15">
        <v>4.4631578947368427</v>
      </c>
      <c r="E15" s="83">
        <v>2.6012269938650312</v>
      </c>
      <c r="F15" s="130">
        <v>1.3126612039762889E-3</v>
      </c>
    </row>
    <row r="16" spans="1:6" x14ac:dyDescent="0.25">
      <c r="A16" s="274" t="s">
        <v>15</v>
      </c>
      <c r="B16" s="224">
        <v>6.1170217313745584E-3</v>
      </c>
      <c r="C16" s="15">
        <v>6.3578947368421055</v>
      </c>
      <c r="D16" s="15">
        <v>12.200000000000001</v>
      </c>
      <c r="E16" s="83">
        <v>1.9188741721854305</v>
      </c>
      <c r="F16" s="130">
        <v>1.1737795011031645E-2</v>
      </c>
    </row>
    <row r="17" spans="1:6" x14ac:dyDescent="0.25">
      <c r="A17" s="274" t="s">
        <v>16</v>
      </c>
      <c r="B17" s="224">
        <v>3.104949058557337E-3</v>
      </c>
      <c r="C17" s="15">
        <v>2</v>
      </c>
      <c r="D17" s="15">
        <v>9.9789473684210535</v>
      </c>
      <c r="E17" s="83">
        <v>4.9894736842105267</v>
      </c>
      <c r="F17" s="130">
        <v>1.5492061618486083E-2</v>
      </c>
    </row>
    <row r="18" spans="1:6" x14ac:dyDescent="0.25">
      <c r="A18" s="274" t="s">
        <v>17</v>
      </c>
      <c r="B18" s="224">
        <v>4.9596251509676486E-3</v>
      </c>
      <c r="C18" s="15">
        <v>1.0526315789473684</v>
      </c>
      <c r="D18" s="15">
        <v>2.831578947368421</v>
      </c>
      <c r="E18" s="83">
        <v>2.69</v>
      </c>
      <c r="F18" s="130">
        <v>1.3341391656102975E-2</v>
      </c>
    </row>
    <row r="19" spans="1:6" x14ac:dyDescent="0.25">
      <c r="A19" s="274" t="s">
        <v>18</v>
      </c>
      <c r="B19" s="224">
        <v>3.5776545058803472E-3</v>
      </c>
      <c r="C19" s="15">
        <v>1.4000000000000001</v>
      </c>
      <c r="D19" s="15">
        <v>2.1894736842105265</v>
      </c>
      <c r="E19" s="83">
        <v>1.5639097744360901</v>
      </c>
      <c r="F19" s="130">
        <v>5.5951288513015956E-3</v>
      </c>
    </row>
    <row r="20" spans="1:6" x14ac:dyDescent="0.25">
      <c r="A20" s="275" t="s">
        <v>19</v>
      </c>
      <c r="B20" s="276">
        <v>1.3871850403185681E-2</v>
      </c>
      <c r="C20" s="277">
        <v>0</v>
      </c>
      <c r="D20" s="277">
        <v>25.831578947368421</v>
      </c>
      <c r="E20" s="278"/>
      <c r="F20" s="279">
        <v>0</v>
      </c>
    </row>
    <row r="21" spans="1:6" x14ac:dyDescent="0.25">
      <c r="A21" s="274" t="s">
        <v>20</v>
      </c>
      <c r="B21" s="224">
        <v>7.3827346988332139E-4</v>
      </c>
      <c r="C21" s="15">
        <v>3.1052631578947372</v>
      </c>
      <c r="D21" s="15">
        <v>4.7368421052631584</v>
      </c>
      <c r="E21" s="83">
        <v>1.5254237288135593</v>
      </c>
      <c r="F21" s="130">
        <v>1.126179869313541E-3</v>
      </c>
    </row>
    <row r="22" spans="1:6" x14ac:dyDescent="0.25">
      <c r="A22" s="274" t="s">
        <v>21</v>
      </c>
      <c r="B22" s="224">
        <v>3.6019310160859859E-3</v>
      </c>
      <c r="C22" s="15">
        <v>2.7473684210526317</v>
      </c>
      <c r="D22" s="15">
        <v>4.2842105263157899</v>
      </c>
      <c r="E22" s="83">
        <v>1.5593869731800767</v>
      </c>
      <c r="F22" s="130">
        <v>5.6168043047777633E-3</v>
      </c>
    </row>
    <row r="23" spans="1:6" x14ac:dyDescent="0.25">
      <c r="A23" s="274" t="s">
        <v>22</v>
      </c>
      <c r="B23" s="224">
        <v>2.1110329220057331E-2</v>
      </c>
      <c r="C23" s="15">
        <v>2.6000000000000005</v>
      </c>
      <c r="D23" s="15">
        <v>4.3473684210526313</v>
      </c>
      <c r="E23" s="83">
        <v>1.6720647773279347</v>
      </c>
      <c r="F23" s="130">
        <v>3.529783792665455E-2</v>
      </c>
    </row>
    <row r="24" spans="1:6" x14ac:dyDescent="0.25">
      <c r="A24" s="274" t="s">
        <v>23</v>
      </c>
      <c r="B24" s="224">
        <v>1.190338602749329E-3</v>
      </c>
      <c r="C24" s="15">
        <v>1.442105263157895</v>
      </c>
      <c r="D24" s="15">
        <v>4.2736842105263158</v>
      </c>
      <c r="E24" s="83">
        <v>2.9635036496350358</v>
      </c>
      <c r="F24" s="130">
        <v>3.5275727935491054E-3</v>
      </c>
    </row>
    <row r="25" spans="1:6" x14ac:dyDescent="0.25">
      <c r="A25" s="274" t="s">
        <v>24</v>
      </c>
      <c r="B25" s="224">
        <v>3.7702773235468118E-4</v>
      </c>
      <c r="C25" s="15">
        <v>1.4736842105263157</v>
      </c>
      <c r="D25" s="15">
        <v>4.1368421052631579</v>
      </c>
      <c r="E25" s="83">
        <v>2.8071428571428574</v>
      </c>
      <c r="F25" s="130">
        <v>1.0583707058242123E-3</v>
      </c>
    </row>
    <row r="26" spans="1:6" x14ac:dyDescent="0.25">
      <c r="A26" s="274" t="s">
        <v>25</v>
      </c>
      <c r="B26" s="224">
        <v>3.9928698375702957E-3</v>
      </c>
      <c r="C26" s="15">
        <v>2.8105263157894735</v>
      </c>
      <c r="D26" s="15">
        <v>2.9578947368421056</v>
      </c>
      <c r="E26" s="83">
        <v>1.0524344569288391</v>
      </c>
      <c r="F26" s="130">
        <v>4.2022337990908357E-3</v>
      </c>
    </row>
    <row r="27" spans="1:6" x14ac:dyDescent="0.25">
      <c r="A27" s="274" t="s">
        <v>26</v>
      </c>
      <c r="B27" s="224">
        <v>3.6122662612636499E-3</v>
      </c>
      <c r="C27" s="15">
        <v>2.5052631578947366</v>
      </c>
      <c r="D27" s="15">
        <v>2.0421052631578949</v>
      </c>
      <c r="E27" s="83">
        <v>0.81512605042016817</v>
      </c>
      <c r="F27" s="130">
        <v>2.9444523306098661E-3</v>
      </c>
    </row>
    <row r="28" spans="1:6" ht="30" x14ac:dyDescent="0.25">
      <c r="A28" s="274" t="s">
        <v>27</v>
      </c>
      <c r="B28" s="224">
        <v>1.21492341004956E-2</v>
      </c>
      <c r="C28" s="15">
        <v>2.6105263157894738</v>
      </c>
      <c r="D28" s="15">
        <v>4.147368421052632</v>
      </c>
      <c r="E28" s="83">
        <v>1.588709677419355</v>
      </c>
      <c r="F28" s="130">
        <v>1.9301605788690591E-2</v>
      </c>
    </row>
    <row r="29" spans="1:6" x14ac:dyDescent="0.25">
      <c r="A29" s="274" t="s">
        <v>28</v>
      </c>
      <c r="B29" s="224">
        <v>2.0181640802401919E-3</v>
      </c>
      <c r="C29" s="15">
        <v>6.9473684210526319</v>
      </c>
      <c r="D29" s="15">
        <v>6.4526315789473685</v>
      </c>
      <c r="E29" s="83">
        <v>0.92878787878787872</v>
      </c>
      <c r="F29" s="130">
        <v>1.8744463351321782E-3</v>
      </c>
    </row>
    <row r="30" spans="1:6" x14ac:dyDescent="0.25">
      <c r="A30" s="274" t="s">
        <v>29</v>
      </c>
      <c r="B30" s="224">
        <v>2.0520264674816651E-3</v>
      </c>
      <c r="C30" s="15">
        <v>21.421052631578949</v>
      </c>
      <c r="D30" s="15">
        <v>23.052631578947366</v>
      </c>
      <c r="E30" s="83">
        <v>1.0761670761670761</v>
      </c>
      <c r="F30" s="130">
        <v>2.2083233237271973E-3</v>
      </c>
    </row>
    <row r="31" spans="1:6" x14ac:dyDescent="0.25">
      <c r="A31" s="275" t="s">
        <v>30</v>
      </c>
      <c r="B31" s="276">
        <v>2.1589864479035461E-2</v>
      </c>
      <c r="C31" s="277">
        <v>0</v>
      </c>
      <c r="D31" s="277">
        <v>28.8</v>
      </c>
      <c r="E31" s="278"/>
      <c r="F31" s="279">
        <v>0</v>
      </c>
    </row>
    <row r="32" spans="1:6" ht="30" x14ac:dyDescent="0.25">
      <c r="A32" s="274" t="s">
        <v>31</v>
      </c>
      <c r="B32" s="224">
        <v>2.1942555349387951E-3</v>
      </c>
      <c r="C32" s="15">
        <v>3.4421052631578948</v>
      </c>
      <c r="D32" s="15">
        <v>4.9894736842105267</v>
      </c>
      <c r="E32" s="83">
        <v>1.4495412844036699</v>
      </c>
      <c r="F32" s="130">
        <v>3.180663986425043E-3</v>
      </c>
    </row>
    <row r="33" spans="1:6" ht="30" x14ac:dyDescent="0.25">
      <c r="A33" s="274" t="s">
        <v>32</v>
      </c>
      <c r="B33" s="224">
        <v>2.7342230596370211E-3</v>
      </c>
      <c r="C33" s="15">
        <v>8.1263157894736846</v>
      </c>
      <c r="D33" s="15">
        <v>15.315789473684212</v>
      </c>
      <c r="E33" s="83">
        <v>1.8847150259067358</v>
      </c>
      <c r="F33" s="130">
        <v>5.1532312846785822E-3</v>
      </c>
    </row>
    <row r="34" spans="1:6" x14ac:dyDescent="0.25">
      <c r="A34" s="274" t="s">
        <v>33</v>
      </c>
      <c r="B34" s="224">
        <v>7.027966720812523E-4</v>
      </c>
      <c r="C34" s="15">
        <v>0.26315789473684209</v>
      </c>
      <c r="D34" s="15">
        <v>0.26315789473684209</v>
      </c>
      <c r="E34" s="83">
        <v>1</v>
      </c>
      <c r="F34" s="130">
        <v>7.027966720812523E-4</v>
      </c>
    </row>
    <row r="35" spans="1:6" x14ac:dyDescent="0.25">
      <c r="A35" s="274" t="s">
        <v>34</v>
      </c>
      <c r="B35" s="224">
        <v>1.7610805144267041E-3</v>
      </c>
      <c r="C35" s="15">
        <v>13.736842105263159</v>
      </c>
      <c r="D35" s="15">
        <v>14.663157894736843</v>
      </c>
      <c r="E35" s="83">
        <v>1.0674329501915709</v>
      </c>
      <c r="F35" s="130">
        <v>1.8798353690393861E-3</v>
      </c>
    </row>
    <row r="36" spans="1:6" x14ac:dyDescent="0.25">
      <c r="A36" s="274" t="s">
        <v>35</v>
      </c>
      <c r="B36" s="224">
        <v>4.1411391140096102E-3</v>
      </c>
      <c r="C36" s="15">
        <v>18.842105263157894</v>
      </c>
      <c r="D36" s="15">
        <v>23.989473684210527</v>
      </c>
      <c r="E36" s="83">
        <v>1.2731843575418995</v>
      </c>
      <c r="F36" s="130">
        <v>5.2724335423619565E-3</v>
      </c>
    </row>
    <row r="37" spans="1:6" x14ac:dyDescent="0.25">
      <c r="A37" s="274" t="s">
        <v>36</v>
      </c>
      <c r="B37" s="224">
        <v>8.7611697344996669E-3</v>
      </c>
      <c r="C37" s="15">
        <v>16.494736842105265</v>
      </c>
      <c r="D37" s="15">
        <v>18.589473684210528</v>
      </c>
      <c r="E37" s="83">
        <v>1.1269942565411615</v>
      </c>
      <c r="F37" s="130">
        <v>9.8737879713633771E-3</v>
      </c>
    </row>
    <row r="38" spans="1:6" x14ac:dyDescent="0.25">
      <c r="A38" s="274" t="s">
        <v>37</v>
      </c>
      <c r="B38" s="224">
        <v>2.049707952626724E-3</v>
      </c>
      <c r="C38" s="15">
        <v>16.757894736842108</v>
      </c>
      <c r="D38" s="15">
        <v>22.294736842105262</v>
      </c>
      <c r="E38" s="83">
        <v>1.3304020100502509</v>
      </c>
      <c r="F38" s="130">
        <v>2.7269355801905781E-3</v>
      </c>
    </row>
    <row r="39" spans="1:6" x14ac:dyDescent="0.25">
      <c r="A39" s="274" t="s">
        <v>38</v>
      </c>
      <c r="B39" s="224">
        <v>4.7201844270438366E-3</v>
      </c>
      <c r="C39" s="15">
        <v>55.515789473684215</v>
      </c>
      <c r="D39" s="15">
        <v>12.147368421052631</v>
      </c>
      <c r="E39" s="83">
        <v>0.21880925293894574</v>
      </c>
      <c r="F39" s="130">
        <v>1.0328200282155075E-3</v>
      </c>
    </row>
    <row r="40" spans="1:6" x14ac:dyDescent="0.25">
      <c r="A40" s="274" t="s">
        <v>39</v>
      </c>
      <c r="B40" s="224">
        <v>2.3449690591427239E-4</v>
      </c>
      <c r="C40" s="15">
        <v>1.168421052631579</v>
      </c>
      <c r="D40" s="15">
        <v>1.6105263157894738</v>
      </c>
      <c r="E40" s="83">
        <v>1.3783783783783783</v>
      </c>
      <c r="F40" s="130">
        <v>3.2322546490886191E-4</v>
      </c>
    </row>
    <row r="41" spans="1:6" x14ac:dyDescent="0.25">
      <c r="A41" s="274" t="s">
        <v>40</v>
      </c>
      <c r="B41" s="224">
        <v>4.4386382663183484E-3</v>
      </c>
      <c r="C41" s="15">
        <v>14.210526315789474</v>
      </c>
      <c r="D41" s="15">
        <v>8.5157894736842099</v>
      </c>
      <c r="E41" s="83">
        <v>0.59925925925925916</v>
      </c>
      <c r="F41" s="130">
        <v>2.6598950795937359E-3</v>
      </c>
    </row>
    <row r="42" spans="1:6" x14ac:dyDescent="0.25">
      <c r="A42" s="274" t="s">
        <v>41</v>
      </c>
      <c r="B42" s="224">
        <v>1.4239171554911211E-2</v>
      </c>
      <c r="C42" s="15">
        <v>21.621052631578948</v>
      </c>
      <c r="D42" s="15">
        <v>62.694736842105272</v>
      </c>
      <c r="E42" s="83">
        <v>2.8997078870496593</v>
      </c>
      <c r="F42" s="130">
        <v>4.1289438062829198E-2</v>
      </c>
    </row>
    <row r="43" spans="1:6" x14ac:dyDescent="0.25">
      <c r="A43" s="274" t="s">
        <v>42</v>
      </c>
      <c r="B43" s="224">
        <v>0.54397844475232471</v>
      </c>
      <c r="C43" s="15">
        <v>14.663157894736843</v>
      </c>
      <c r="D43" s="15">
        <v>25.147368421052633</v>
      </c>
      <c r="E43" s="83">
        <v>1.7150035893754487</v>
      </c>
      <c r="F43" s="130">
        <v>0.93292498529311108</v>
      </c>
    </row>
    <row r="44" spans="1:6" x14ac:dyDescent="0.25">
      <c r="A44" s="275" t="s">
        <v>43</v>
      </c>
      <c r="B44" s="276">
        <v>2.2125823638572328E-3</v>
      </c>
      <c r="C44" s="277">
        <v>0</v>
      </c>
      <c r="D44" s="277">
        <v>7.5578947368421057</v>
      </c>
      <c r="E44" s="278"/>
      <c r="F44" s="279">
        <v>0</v>
      </c>
    </row>
    <row r="45" spans="1:6" x14ac:dyDescent="0.25">
      <c r="A45" s="274" t="s">
        <v>44</v>
      </c>
      <c r="B45" s="224">
        <v>1.981134229537463E-2</v>
      </c>
      <c r="C45" s="15">
        <v>5.6210526315789471</v>
      </c>
      <c r="D45" s="15">
        <v>6.7684210526315791</v>
      </c>
      <c r="E45" s="83">
        <v>1.2041198501872661</v>
      </c>
      <c r="F45" s="130">
        <v>2.3855230516715148E-2</v>
      </c>
    </row>
    <row r="46" spans="1:6" x14ac:dyDescent="0.25">
      <c r="A46" s="274" t="s">
        <v>45</v>
      </c>
      <c r="B46" s="224">
        <v>1.8434154530172461E-3</v>
      </c>
      <c r="C46" s="15">
        <v>2.6947368421052635</v>
      </c>
      <c r="D46" s="15">
        <v>4.2</v>
      </c>
      <c r="E46" s="83">
        <v>1.5585937499999998</v>
      </c>
      <c r="F46" s="130">
        <v>2.873135803726098E-3</v>
      </c>
    </row>
    <row r="47" spans="1:6" x14ac:dyDescent="0.25">
      <c r="A47" s="274" t="s">
        <v>46</v>
      </c>
      <c r="B47" s="224">
        <v>5.8690105493936773E-2</v>
      </c>
      <c r="C47" s="15">
        <v>24.168421052631579</v>
      </c>
      <c r="D47" s="15">
        <v>32.547368421052632</v>
      </c>
      <c r="E47" s="83">
        <v>1.3466898954703832</v>
      </c>
      <c r="F47" s="130">
        <v>7.9037372032775471E-2</v>
      </c>
    </row>
    <row r="48" spans="1:6" x14ac:dyDescent="0.25">
      <c r="A48" s="274" t="s">
        <v>47</v>
      </c>
      <c r="B48" s="224">
        <v>1.37442968809492E-2</v>
      </c>
      <c r="C48" s="15">
        <v>12.715789473684211</v>
      </c>
      <c r="D48" s="15">
        <v>16.621052631578948</v>
      </c>
      <c r="E48" s="83">
        <v>1.3071192052980132</v>
      </c>
      <c r="F48" s="130">
        <v>1.796543441640628E-2</v>
      </c>
    </row>
    <row r="49" spans="1:6" x14ac:dyDescent="0.25">
      <c r="A49" s="274" t="s">
        <v>48</v>
      </c>
      <c r="B49" s="224">
        <v>1.380305941362836E-2</v>
      </c>
      <c r="C49" s="15">
        <v>10.768421052631579</v>
      </c>
      <c r="D49" s="15">
        <v>16.652631578947368</v>
      </c>
      <c r="E49" s="83">
        <v>1.5464320625610948</v>
      </c>
      <c r="F49" s="130">
        <v>2.1345493638670641E-2</v>
      </c>
    </row>
    <row r="50" spans="1:6" x14ac:dyDescent="0.25">
      <c r="A50" s="274" t="s">
        <v>49</v>
      </c>
      <c r="B50" s="224">
        <v>5.6478720107379821E-4</v>
      </c>
      <c r="C50" s="15">
        <v>1.2210526315789474</v>
      </c>
      <c r="D50" s="15">
        <v>2.0421052631578949</v>
      </c>
      <c r="E50" s="83">
        <v>1.6724137931034484</v>
      </c>
      <c r="F50" s="130">
        <v>9.4455790524411085E-4</v>
      </c>
    </row>
    <row r="51" spans="1:6" x14ac:dyDescent="0.25">
      <c r="A51" s="274" t="s">
        <v>50</v>
      </c>
      <c r="B51" s="224">
        <v>5.080313656334308E-4</v>
      </c>
      <c r="C51" s="15">
        <v>1.2</v>
      </c>
      <c r="D51" s="15">
        <v>2.1052631578947367</v>
      </c>
      <c r="E51" s="83">
        <v>1.7543859649122806</v>
      </c>
      <c r="F51" s="130">
        <v>8.9128309760251015E-4</v>
      </c>
    </row>
    <row r="52" spans="1:6" ht="30" x14ac:dyDescent="0.25">
      <c r="A52" s="274" t="s">
        <v>51</v>
      </c>
      <c r="B52" s="224">
        <v>1.664950160983442E-3</v>
      </c>
      <c r="C52" s="15">
        <v>1.6</v>
      </c>
      <c r="D52" s="15">
        <v>7.7473684210526326</v>
      </c>
      <c r="E52" s="83">
        <v>4.8421052631578947</v>
      </c>
      <c r="F52" s="130">
        <v>8.061863937393509E-3</v>
      </c>
    </row>
    <row r="53" spans="1:6" ht="30" x14ac:dyDescent="0.25">
      <c r="A53" s="274" t="s">
        <v>52</v>
      </c>
      <c r="B53" s="224">
        <v>1.49094084326955E-3</v>
      </c>
      <c r="C53" s="15">
        <v>2.168421052631579</v>
      </c>
      <c r="D53" s="15">
        <v>7.3368421052631581</v>
      </c>
      <c r="E53" s="83">
        <v>3.383495145631068</v>
      </c>
      <c r="F53" s="130">
        <v>5.0445911056256135E-3</v>
      </c>
    </row>
    <row r="54" spans="1:6" ht="30" x14ac:dyDescent="0.25">
      <c r="A54" s="274" t="s">
        <v>53</v>
      </c>
      <c r="B54" s="224">
        <v>3.048303868077511E-3</v>
      </c>
      <c r="C54" s="15">
        <v>6.9684210526315793</v>
      </c>
      <c r="D54" s="15">
        <v>8.5578947368421066</v>
      </c>
      <c r="E54" s="83">
        <v>1.2280966767371602</v>
      </c>
      <c r="F54" s="130">
        <v>3.7436118500710218E-3</v>
      </c>
    </row>
    <row r="55" spans="1:6" x14ac:dyDescent="0.25">
      <c r="A55" s="274" t="s">
        <v>54</v>
      </c>
      <c r="B55" s="224">
        <v>6.8100967348774983E-4</v>
      </c>
      <c r="C55" s="15">
        <v>2.9052631578947365</v>
      </c>
      <c r="D55" s="15">
        <v>4.9263157894736844</v>
      </c>
      <c r="E55" s="83">
        <v>1.6956521739130437</v>
      </c>
      <c r="F55" s="130">
        <v>1.154755533305315E-3</v>
      </c>
    </row>
    <row r="56" spans="1:6" x14ac:dyDescent="0.25">
      <c r="A56" s="274" t="s">
        <v>55</v>
      </c>
      <c r="B56" s="224">
        <v>8.5018078883623393E-4</v>
      </c>
      <c r="C56" s="15">
        <v>1.1157894736842107</v>
      </c>
      <c r="D56" s="15">
        <v>1.0736842105263158</v>
      </c>
      <c r="E56" s="83">
        <v>0.96226415094339612</v>
      </c>
      <c r="F56" s="130">
        <v>8.1809849491788539E-4</v>
      </c>
    </row>
    <row r="57" spans="1:6" ht="15.75" thickBot="1" x14ac:dyDescent="0.3">
      <c r="A57" s="280" t="s">
        <v>56</v>
      </c>
      <c r="B57" s="74">
        <v>5.6629348133205113E-3</v>
      </c>
      <c r="C57" s="281">
        <v>4.4947368421052625</v>
      </c>
      <c r="D57" s="281">
        <v>6.8315789473684214</v>
      </c>
      <c r="E57" s="282">
        <v>1.5199063231850121</v>
      </c>
      <c r="F57" s="283">
        <v>8.6071304305503811E-3</v>
      </c>
    </row>
    <row r="58" spans="1:6" x14ac:dyDescent="0.25">
      <c r="A58" s="253"/>
      <c r="B58" s="2"/>
      <c r="C58" s="298" t="s">
        <v>216</v>
      </c>
      <c r="D58" s="299"/>
      <c r="E58" s="299"/>
      <c r="F58" s="284">
        <v>1.5784348620825754</v>
      </c>
    </row>
    <row r="59" spans="1:6" ht="15.75" thickBot="1" x14ac:dyDescent="0.3">
      <c r="A59" s="253"/>
      <c r="B59" s="2"/>
      <c r="C59" s="300" t="s">
        <v>217</v>
      </c>
      <c r="D59" s="301"/>
      <c r="E59" s="301"/>
      <c r="F59" s="285">
        <v>0.63353897206794285</v>
      </c>
    </row>
  </sheetData>
  <mergeCells count="2">
    <mergeCell ref="C58:E58"/>
    <mergeCell ref="C59:E5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D10B0-227B-4786-A8E6-265662A396A5}">
  <dimension ref="A1:E28"/>
  <sheetViews>
    <sheetView workbookViewId="0">
      <selection activeCell="E28" sqref="A1:E28"/>
    </sheetView>
  </sheetViews>
  <sheetFormatPr defaultRowHeight="15" x14ac:dyDescent="0.25"/>
  <cols>
    <col min="1" max="1" width="14.42578125" style="148" bestFit="1" customWidth="1"/>
    <col min="2" max="2" width="8" style="148" bestFit="1" customWidth="1"/>
    <col min="3" max="3" width="44.28515625" style="149" bestFit="1" customWidth="1"/>
    <col min="4" max="4" width="9.7109375" style="148" bestFit="1" customWidth="1"/>
    <col min="5" max="5" width="12" style="149" bestFit="1" customWidth="1"/>
    <col min="6" max="16384" width="9.140625" style="149"/>
  </cols>
  <sheetData>
    <row r="1" spans="1:5" s="150" customFormat="1" ht="15.75" thickBot="1" x14ac:dyDescent="0.3">
      <c r="A1" s="184" t="s">
        <v>136</v>
      </c>
      <c r="B1" s="157" t="s">
        <v>137</v>
      </c>
      <c r="C1" s="158" t="s">
        <v>138</v>
      </c>
      <c r="D1" s="200" t="s">
        <v>139</v>
      </c>
      <c r="E1" s="159" t="s">
        <v>148</v>
      </c>
    </row>
    <row r="2" spans="1:5" x14ac:dyDescent="0.25">
      <c r="A2" s="302" t="s">
        <v>131</v>
      </c>
      <c r="B2" s="185" t="s">
        <v>118</v>
      </c>
      <c r="C2" s="169" t="s">
        <v>140</v>
      </c>
      <c r="D2" s="201" t="s">
        <v>141</v>
      </c>
      <c r="E2" s="161">
        <v>7.0330150863639673E-3</v>
      </c>
    </row>
    <row r="3" spans="1:5" x14ac:dyDescent="0.25">
      <c r="A3" s="303"/>
      <c r="B3" s="186" t="s">
        <v>119</v>
      </c>
      <c r="C3" s="170" t="s">
        <v>142</v>
      </c>
      <c r="D3" s="202" t="s">
        <v>143</v>
      </c>
      <c r="E3" s="151">
        <v>2.4324028860870199E-2</v>
      </c>
    </row>
    <row r="4" spans="1:5" x14ac:dyDescent="0.25">
      <c r="A4" s="303"/>
      <c r="B4" s="186" t="s">
        <v>120</v>
      </c>
      <c r="C4" s="170" t="s">
        <v>144</v>
      </c>
      <c r="D4" s="202" t="s">
        <v>145</v>
      </c>
      <c r="E4" s="151">
        <v>6.6421908024196494E-2</v>
      </c>
    </row>
    <row r="5" spans="1:5" x14ac:dyDescent="0.25">
      <c r="A5" s="303"/>
      <c r="B5" s="186" t="s">
        <v>121</v>
      </c>
      <c r="C5" s="170" t="s">
        <v>146</v>
      </c>
      <c r="D5" s="202" t="s">
        <v>147</v>
      </c>
      <c r="E5" s="151">
        <v>5.9534654908534365E-2</v>
      </c>
    </row>
    <row r="6" spans="1:5" x14ac:dyDescent="0.25">
      <c r="A6" s="303"/>
      <c r="B6" s="186" t="s">
        <v>122</v>
      </c>
      <c r="C6" s="170" t="s">
        <v>149</v>
      </c>
      <c r="D6" s="202" t="s">
        <v>150</v>
      </c>
      <c r="E6" s="151">
        <v>8.1799795933241021E-2</v>
      </c>
    </row>
    <row r="7" spans="1:5" x14ac:dyDescent="0.25">
      <c r="A7" s="303"/>
      <c r="B7" s="186" t="s">
        <v>123</v>
      </c>
      <c r="C7" s="170" t="s">
        <v>151</v>
      </c>
      <c r="D7" s="202" t="s">
        <v>152</v>
      </c>
      <c r="E7" s="151">
        <v>3.9246410611471466E-2</v>
      </c>
    </row>
    <row r="8" spans="1:5" ht="15.75" thickBot="1" x14ac:dyDescent="0.3">
      <c r="A8" s="304"/>
      <c r="B8" s="187" t="s">
        <v>124</v>
      </c>
      <c r="C8" s="171" t="s">
        <v>153</v>
      </c>
      <c r="D8" s="203" t="s">
        <v>154</v>
      </c>
      <c r="E8" s="162">
        <v>9.693171051672618E-3</v>
      </c>
    </row>
    <row r="9" spans="1:5" x14ac:dyDescent="0.25">
      <c r="A9" s="305" t="s">
        <v>132</v>
      </c>
      <c r="B9" s="188" t="s">
        <v>109</v>
      </c>
      <c r="C9" s="172" t="s">
        <v>155</v>
      </c>
      <c r="D9" s="204" t="s">
        <v>156</v>
      </c>
      <c r="E9" s="160">
        <v>1.4546620727084344E-2</v>
      </c>
    </row>
    <row r="10" spans="1:5" x14ac:dyDescent="0.25">
      <c r="A10" s="305"/>
      <c r="B10" s="189" t="s">
        <v>110</v>
      </c>
      <c r="C10" s="173" t="s">
        <v>157</v>
      </c>
      <c r="D10" s="205" t="s">
        <v>158</v>
      </c>
      <c r="E10" s="152">
        <v>5.8449621327368861E-2</v>
      </c>
    </row>
    <row r="11" spans="1:5" x14ac:dyDescent="0.25">
      <c r="A11" s="305"/>
      <c r="B11" s="189" t="s">
        <v>111</v>
      </c>
      <c r="C11" s="173" t="s">
        <v>159</v>
      </c>
      <c r="D11" s="205" t="s">
        <v>160</v>
      </c>
      <c r="E11" s="152">
        <v>5.5226175694233159E-2</v>
      </c>
    </row>
    <row r="12" spans="1:5" x14ac:dyDescent="0.25">
      <c r="A12" s="305"/>
      <c r="B12" s="189" t="s">
        <v>112</v>
      </c>
      <c r="C12" s="173" t="s">
        <v>161</v>
      </c>
      <c r="D12" s="205" t="s">
        <v>162</v>
      </c>
      <c r="E12" s="152">
        <v>2.920014143690023E-2</v>
      </c>
    </row>
    <row r="13" spans="1:5" x14ac:dyDescent="0.25">
      <c r="A13" s="305"/>
      <c r="B13" s="189" t="s">
        <v>113</v>
      </c>
      <c r="C13" s="173" t="s">
        <v>163</v>
      </c>
      <c r="D13" s="205" t="s">
        <v>164</v>
      </c>
      <c r="E13" s="152">
        <v>2.4315634533628269E-2</v>
      </c>
    </row>
    <row r="14" spans="1:5" x14ac:dyDescent="0.25">
      <c r="A14" s="305"/>
      <c r="B14" s="189" t="s">
        <v>114</v>
      </c>
      <c r="C14" s="173" t="s">
        <v>165</v>
      </c>
      <c r="D14" s="205" t="s">
        <v>166</v>
      </c>
      <c r="E14" s="152">
        <v>5.4264075849649283E-2</v>
      </c>
    </row>
    <row r="15" spans="1:5" x14ac:dyDescent="0.25">
      <c r="A15" s="305"/>
      <c r="B15" s="189" t="s">
        <v>115</v>
      </c>
      <c r="C15" s="173" t="s">
        <v>167</v>
      </c>
      <c r="D15" s="205" t="s">
        <v>168</v>
      </c>
      <c r="E15" s="152">
        <v>1.7326020278104416E-2</v>
      </c>
    </row>
    <row r="16" spans="1:5" x14ac:dyDescent="0.25">
      <c r="A16" s="305"/>
      <c r="B16" s="189" t="s">
        <v>116</v>
      </c>
      <c r="C16" s="173" t="s">
        <v>149</v>
      </c>
      <c r="D16" s="205" t="s">
        <v>150</v>
      </c>
      <c r="E16" s="152">
        <v>2.3814026922349497E-2</v>
      </c>
    </row>
    <row r="17" spans="1:5" ht="15.75" thickBot="1" x14ac:dyDescent="0.3">
      <c r="A17" s="305"/>
      <c r="B17" s="190" t="s">
        <v>117</v>
      </c>
      <c r="C17" s="174" t="s">
        <v>169</v>
      </c>
      <c r="D17" s="206" t="s">
        <v>170</v>
      </c>
      <c r="E17" s="163">
        <v>1.0813344407075135E-2</v>
      </c>
    </row>
    <row r="18" spans="1:5" x14ac:dyDescent="0.25">
      <c r="A18" s="306" t="s">
        <v>133</v>
      </c>
      <c r="B18" s="191" t="s">
        <v>105</v>
      </c>
      <c r="C18" s="175" t="s">
        <v>171</v>
      </c>
      <c r="D18" s="207" t="s">
        <v>178</v>
      </c>
      <c r="E18" s="165">
        <v>2.4925296990015305E-2</v>
      </c>
    </row>
    <row r="19" spans="1:5" x14ac:dyDescent="0.25">
      <c r="A19" s="307"/>
      <c r="B19" s="192" t="s">
        <v>106</v>
      </c>
      <c r="C19" s="176" t="s">
        <v>172</v>
      </c>
      <c r="D19" s="208" t="s">
        <v>177</v>
      </c>
      <c r="E19" s="153">
        <v>8.6564390350557546E-2</v>
      </c>
    </row>
    <row r="20" spans="1:5" x14ac:dyDescent="0.25">
      <c r="A20" s="307"/>
      <c r="B20" s="192" t="s">
        <v>107</v>
      </c>
      <c r="C20" s="176" t="s">
        <v>173</v>
      </c>
      <c r="D20" s="208" t="s">
        <v>176</v>
      </c>
      <c r="E20" s="153">
        <v>0.41070257269878291</v>
      </c>
    </row>
    <row r="21" spans="1:5" ht="15.75" thickBot="1" x14ac:dyDescent="0.3">
      <c r="A21" s="308"/>
      <c r="B21" s="193" t="s">
        <v>108</v>
      </c>
      <c r="C21" s="177" t="s">
        <v>174</v>
      </c>
      <c r="D21" s="209" t="s">
        <v>175</v>
      </c>
      <c r="E21" s="166">
        <v>0.18975475548429416</v>
      </c>
    </row>
    <row r="22" spans="1:5" x14ac:dyDescent="0.25">
      <c r="A22" s="309" t="s">
        <v>134</v>
      </c>
      <c r="B22" s="194" t="s">
        <v>102</v>
      </c>
      <c r="C22" s="178" t="s">
        <v>179</v>
      </c>
      <c r="D22" s="210" t="s">
        <v>184</v>
      </c>
      <c r="E22" s="164">
        <v>4.486510044486839E-2</v>
      </c>
    </row>
    <row r="23" spans="1:5" x14ac:dyDescent="0.25">
      <c r="A23" s="309"/>
      <c r="B23" s="195" t="s">
        <v>103</v>
      </c>
      <c r="C23" s="179" t="s">
        <v>180</v>
      </c>
      <c r="D23" s="211" t="s">
        <v>183</v>
      </c>
      <c r="E23" s="154">
        <v>5.5382414130533103E-2</v>
      </c>
    </row>
    <row r="24" spans="1:5" ht="15.75" thickBot="1" x14ac:dyDescent="0.3">
      <c r="A24" s="309"/>
      <c r="B24" s="196" t="s">
        <v>104</v>
      </c>
      <c r="C24" s="180" t="s">
        <v>181</v>
      </c>
      <c r="D24" s="212" t="s">
        <v>182</v>
      </c>
      <c r="E24" s="167">
        <v>3.4931625126429784E-2</v>
      </c>
    </row>
    <row r="25" spans="1:5" x14ac:dyDescent="0.25">
      <c r="A25" s="310" t="s">
        <v>135</v>
      </c>
      <c r="B25" s="197" t="s">
        <v>98</v>
      </c>
      <c r="C25" s="181" t="s">
        <v>185</v>
      </c>
      <c r="D25" s="213" t="s">
        <v>192</v>
      </c>
      <c r="E25" s="168">
        <v>0.50732264881711053</v>
      </c>
    </row>
    <row r="26" spans="1:5" x14ac:dyDescent="0.25">
      <c r="A26" s="311"/>
      <c r="B26" s="198" t="s">
        <v>99</v>
      </c>
      <c r="C26" s="182" t="s">
        <v>186</v>
      </c>
      <c r="D26" s="214" t="s">
        <v>191</v>
      </c>
      <c r="E26" s="155">
        <v>3.3254117705104065E-2</v>
      </c>
    </row>
    <row r="27" spans="1:5" x14ac:dyDescent="0.25">
      <c r="A27" s="311"/>
      <c r="B27" s="198" t="s">
        <v>100</v>
      </c>
      <c r="C27" s="182" t="s">
        <v>187</v>
      </c>
      <c r="D27" s="214" t="s">
        <v>190</v>
      </c>
      <c r="E27" s="155">
        <v>2.1454004226660855E-2</v>
      </c>
    </row>
    <row r="28" spans="1:5" ht="15.75" thickBot="1" x14ac:dyDescent="0.3">
      <c r="A28" s="312"/>
      <c r="B28" s="199" t="s">
        <v>101</v>
      </c>
      <c r="C28" s="183" t="s">
        <v>188</v>
      </c>
      <c r="D28" s="215" t="s">
        <v>189</v>
      </c>
      <c r="E28" s="156">
        <v>1.4834428372900032E-2</v>
      </c>
    </row>
  </sheetData>
  <mergeCells count="5">
    <mergeCell ref="A2:A8"/>
    <mergeCell ref="A9:A17"/>
    <mergeCell ref="A18:A21"/>
    <mergeCell ref="A22:A24"/>
    <mergeCell ref="A25:A2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Consumo AVDF</vt:lpstr>
      <vt:lpstr>Comparativo pedidos x painel</vt:lpstr>
      <vt:lpstr>Projeção valores</vt:lpstr>
      <vt:lpstr>% MERCADO</vt:lpstr>
      <vt:lpstr>Frete por Estado</vt:lpstr>
      <vt:lpstr>Fator de Conversão</vt:lpstr>
      <vt:lpstr>LOCAIS CONSULTADOS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Henrique Correia de Castro</dc:creator>
  <cp:lastModifiedBy>Daniel Araujo</cp:lastModifiedBy>
  <dcterms:created xsi:type="dcterms:W3CDTF">2020-03-09T12:06:30Z</dcterms:created>
  <dcterms:modified xsi:type="dcterms:W3CDTF">2020-04-23T19:47:03Z</dcterms:modified>
</cp:coreProperties>
</file>